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70"/>
  </bookViews>
  <sheets>
    <sheet name="Прил 1 на 2023(октябрь)" sheetId="3" r:id="rId1"/>
    <sheet name="Лист1" sheetId="4" r:id="rId2"/>
  </sheets>
  <definedNames>
    <definedName name="_xlnm._FilterDatabase" localSheetId="0" hidden="1">'Прил 1 на 2023(октябрь)'!$A$8:$F$307</definedName>
    <definedName name="_xlnm.Print_Titles" localSheetId="0">'Прил 1 на 2023(октябрь)'!$5:$7</definedName>
    <definedName name="_xlnm.Print_Area" localSheetId="0">'Прил 1 на 2023(октябрь)'!$A$1:$BM$315</definedName>
  </definedNames>
  <calcPr calcId="144525"/>
</workbook>
</file>

<file path=xl/calcChain.xml><?xml version="1.0" encoding="utf-8"?>
<calcChain xmlns="http://schemas.openxmlformats.org/spreadsheetml/2006/main">
  <c r="D257" i="3" l="1"/>
  <c r="D225" i="3" l="1"/>
  <c r="D224" i="3"/>
  <c r="D305" i="4" l="1"/>
  <c r="D304" i="4"/>
  <c r="D303" i="4"/>
  <c r="D302" i="4" s="1"/>
  <c r="F302" i="4"/>
  <c r="E302" i="4"/>
  <c r="E301" i="4" s="1"/>
  <c r="F301" i="4"/>
  <c r="D301" i="4"/>
  <c r="D300" i="4"/>
  <c r="D299" i="4"/>
  <c r="D298" i="4"/>
  <c r="F297" i="4"/>
  <c r="F296" i="4" s="1"/>
  <c r="E297" i="4"/>
  <c r="D297" i="4"/>
  <c r="D296" i="4" s="1"/>
  <c r="D295" i="4" s="1"/>
  <c r="D294" i="4" s="1"/>
  <c r="E296" i="4"/>
  <c r="E295" i="4" s="1"/>
  <c r="F295" i="4"/>
  <c r="F294" i="4" s="1"/>
  <c r="E294" i="4"/>
  <c r="F292" i="4"/>
  <c r="E292" i="4"/>
  <c r="D292" i="4"/>
  <c r="F290" i="4"/>
  <c r="E290" i="4"/>
  <c r="D290" i="4"/>
  <c r="F288" i="4"/>
  <c r="E288" i="4"/>
  <c r="D288" i="4"/>
  <c r="F286" i="4"/>
  <c r="E286" i="4"/>
  <c r="E285" i="4" s="1"/>
  <c r="D286" i="4"/>
  <c r="F285" i="4"/>
  <c r="D285" i="4"/>
  <c r="D284" i="4"/>
  <c r="D283" i="4"/>
  <c r="D282" i="4" s="1"/>
  <c r="F282" i="4"/>
  <c r="E282" i="4"/>
  <c r="E281" i="4" s="1"/>
  <c r="F281" i="4"/>
  <c r="D281" i="4"/>
  <c r="D280" i="4"/>
  <c r="F279" i="4"/>
  <c r="E279" i="4"/>
  <c r="D279" i="4"/>
  <c r="F278" i="4"/>
  <c r="E278" i="4"/>
  <c r="D278" i="4"/>
  <c r="D277" i="4"/>
  <c r="D275" i="4"/>
  <c r="D274" i="4"/>
  <c r="D273" i="4"/>
  <c r="D272" i="4"/>
  <c r="D271" i="4"/>
  <c r="F270" i="4"/>
  <c r="E270" i="4"/>
  <c r="D270" i="4"/>
  <c r="D267" i="4" s="1"/>
  <c r="D266" i="4" s="1"/>
  <c r="D265" i="4" s="1"/>
  <c r="F268" i="4"/>
  <c r="E268" i="4"/>
  <c r="E267" i="4" s="1"/>
  <c r="D268" i="4"/>
  <c r="F267" i="4"/>
  <c r="F266" i="4" s="1"/>
  <c r="F265" i="4" s="1"/>
  <c r="E266" i="4"/>
  <c r="E265" i="4" s="1"/>
  <c r="D262" i="4"/>
  <c r="D260" i="4"/>
  <c r="D257" i="4"/>
  <c r="F251" i="4"/>
  <c r="E251" i="4"/>
  <c r="D251" i="4"/>
  <c r="F250" i="4"/>
  <c r="E250" i="4"/>
  <c r="D250" i="4"/>
  <c r="D249" i="4"/>
  <c r="D245" i="4" s="1"/>
  <c r="D244" i="4" s="1"/>
  <c r="D223" i="4" s="1"/>
  <c r="D248" i="4"/>
  <c r="E246" i="4"/>
  <c r="E245" i="4" s="1"/>
  <c r="D246" i="4"/>
  <c r="F245" i="4"/>
  <c r="F244" i="4" s="1"/>
  <c r="E244" i="4"/>
  <c r="F242" i="4"/>
  <c r="E242" i="4"/>
  <c r="D242" i="4"/>
  <c r="F240" i="4"/>
  <c r="E240" i="4"/>
  <c r="D240" i="4"/>
  <c r="F238" i="4"/>
  <c r="E238" i="4"/>
  <c r="D238" i="4"/>
  <c r="E237" i="4"/>
  <c r="D237" i="4"/>
  <c r="D236" i="4" s="1"/>
  <c r="F236" i="4"/>
  <c r="E236" i="4"/>
  <c r="F234" i="4"/>
  <c r="E234" i="4"/>
  <c r="D234" i="4"/>
  <c r="D233" i="4"/>
  <c r="F232" i="4"/>
  <c r="F223" i="4" s="1"/>
  <c r="E232" i="4"/>
  <c r="D232" i="4"/>
  <c r="F231" i="4"/>
  <c r="E231" i="4"/>
  <c r="E230" i="4" s="1"/>
  <c r="D231" i="4"/>
  <c r="F230" i="4"/>
  <c r="D230" i="4"/>
  <c r="F228" i="4"/>
  <c r="E228" i="4"/>
  <c r="D228" i="4"/>
  <c r="F226" i="4"/>
  <c r="E226" i="4"/>
  <c r="D226" i="4"/>
  <c r="F224" i="4"/>
  <c r="E224" i="4"/>
  <c r="D224" i="4"/>
  <c r="D222" i="4"/>
  <c r="F221" i="4"/>
  <c r="E221" i="4"/>
  <c r="D221" i="4"/>
  <c r="D218" i="4" s="1"/>
  <c r="F219" i="4"/>
  <c r="E219" i="4"/>
  <c r="E218" i="4" s="1"/>
  <c r="D219" i="4"/>
  <c r="F218" i="4"/>
  <c r="D194" i="4"/>
  <c r="F191" i="4"/>
  <c r="F190" i="4" s="1"/>
  <c r="E191" i="4"/>
  <c r="D191" i="4"/>
  <c r="D190" i="4" s="1"/>
  <c r="E190" i="4"/>
  <c r="F188" i="4"/>
  <c r="F187" i="4" s="1"/>
  <c r="E188" i="4"/>
  <c r="D188" i="4"/>
  <c r="D187" i="4" s="1"/>
  <c r="D186" i="4" s="1"/>
  <c r="E187" i="4"/>
  <c r="E186" i="4" s="1"/>
  <c r="F186" i="4"/>
  <c r="F184" i="4"/>
  <c r="E184" i="4"/>
  <c r="E183" i="4" s="1"/>
  <c r="D184" i="4"/>
  <c r="F183" i="4"/>
  <c r="F182" i="4" s="1"/>
  <c r="D183" i="4"/>
  <c r="D182" i="4" s="1"/>
  <c r="E182" i="4"/>
  <c r="F179" i="4"/>
  <c r="F178" i="4" s="1"/>
  <c r="E179" i="4"/>
  <c r="D179" i="4"/>
  <c r="D178" i="4" s="1"/>
  <c r="D171" i="4" s="1"/>
  <c r="E178" i="4"/>
  <c r="D177" i="4"/>
  <c r="D176" i="4" s="1"/>
  <c r="F176" i="4"/>
  <c r="E176" i="4"/>
  <c r="D174" i="4"/>
  <c r="D172" i="4" s="1"/>
  <c r="F172" i="4"/>
  <c r="E172" i="4"/>
  <c r="F171" i="4"/>
  <c r="D170" i="4"/>
  <c r="F168" i="4"/>
  <c r="E168" i="4"/>
  <c r="D168" i="4"/>
  <c r="F167" i="4"/>
  <c r="E167" i="4"/>
  <c r="E165" i="4" s="1"/>
  <c r="D167" i="4"/>
  <c r="F165" i="4"/>
  <c r="D165" i="4"/>
  <c r="D161" i="4" s="1"/>
  <c r="F162" i="4"/>
  <c r="E162" i="4"/>
  <c r="D162" i="4"/>
  <c r="F161" i="4"/>
  <c r="F160" i="4"/>
  <c r="E160" i="4"/>
  <c r="E159" i="4" s="1"/>
  <c r="D160" i="4"/>
  <c r="F159" i="4"/>
  <c r="D159" i="4"/>
  <c r="F156" i="4"/>
  <c r="E156" i="4"/>
  <c r="D156" i="4"/>
  <c r="F153" i="4"/>
  <c r="F125" i="4" s="1"/>
  <c r="F124" i="4" s="1"/>
  <c r="E153" i="4"/>
  <c r="D153" i="4"/>
  <c r="F151" i="4"/>
  <c r="E151" i="4"/>
  <c r="D151" i="4"/>
  <c r="F149" i="4"/>
  <c r="E149" i="4"/>
  <c r="D149" i="4"/>
  <c r="F147" i="4"/>
  <c r="E147" i="4"/>
  <c r="D147" i="4"/>
  <c r="F145" i="4"/>
  <c r="E145" i="4"/>
  <c r="D145" i="4"/>
  <c r="F143" i="4"/>
  <c r="E143" i="4"/>
  <c r="D143" i="4"/>
  <c r="F141" i="4"/>
  <c r="E141" i="4"/>
  <c r="D141" i="4"/>
  <c r="F139" i="4"/>
  <c r="E139" i="4"/>
  <c r="D139" i="4"/>
  <c r="F137" i="4"/>
  <c r="E137" i="4"/>
  <c r="D137" i="4"/>
  <c r="F135" i="4"/>
  <c r="E135" i="4"/>
  <c r="D135" i="4"/>
  <c r="D134" i="4"/>
  <c r="D132" i="4" s="1"/>
  <c r="F132" i="4"/>
  <c r="E132" i="4"/>
  <c r="F129" i="4"/>
  <c r="E129" i="4"/>
  <c r="D129" i="4"/>
  <c r="F126" i="4"/>
  <c r="E126" i="4"/>
  <c r="D126" i="4"/>
  <c r="D125" i="4"/>
  <c r="D123" i="4"/>
  <c r="D122" i="4" s="1"/>
  <c r="D119" i="4" s="1"/>
  <c r="D113" i="4" s="1"/>
  <c r="F122" i="4"/>
  <c r="E122" i="4"/>
  <c r="D121" i="4"/>
  <c r="D120" i="4" s="1"/>
  <c r="F120" i="4"/>
  <c r="E120" i="4"/>
  <c r="F119" i="4"/>
  <c r="F113" i="4" s="1"/>
  <c r="F117" i="4"/>
  <c r="E117" i="4"/>
  <c r="D117" i="4"/>
  <c r="F115" i="4"/>
  <c r="F114" i="4" s="1"/>
  <c r="E115" i="4"/>
  <c r="D115" i="4"/>
  <c r="D114" i="4" s="1"/>
  <c r="E114" i="4"/>
  <c r="D111" i="4"/>
  <c r="D110" i="4"/>
  <c r="D108" i="4"/>
  <c r="D105" i="4"/>
  <c r="F103" i="4"/>
  <c r="E103" i="4"/>
  <c r="E102" i="4" s="1"/>
  <c r="E101" i="4" s="1"/>
  <c r="F102" i="4"/>
  <c r="F101" i="4" s="1"/>
  <c r="D100" i="4"/>
  <c r="D99" i="4" s="1"/>
  <c r="F99" i="4"/>
  <c r="E99" i="4"/>
  <c r="E98" i="4" s="1"/>
  <c r="E97" i="4" s="1"/>
  <c r="F98" i="4"/>
  <c r="F97" i="4" s="1"/>
  <c r="D98" i="4"/>
  <c r="D97" i="4" s="1"/>
  <c r="F96" i="4"/>
  <c r="F94" i="4"/>
  <c r="E94" i="4"/>
  <c r="E93" i="4" s="1"/>
  <c r="D94" i="4"/>
  <c r="F93" i="4"/>
  <c r="D93" i="4"/>
  <c r="F92" i="4"/>
  <c r="E92" i="4"/>
  <c r="E91" i="4" s="1"/>
  <c r="D92" i="4"/>
  <c r="F91" i="4"/>
  <c r="D91" i="4"/>
  <c r="F90" i="4"/>
  <c r="E90" i="4"/>
  <c r="D90" i="4"/>
  <c r="F89" i="4"/>
  <c r="E89" i="4"/>
  <c r="D89" i="4"/>
  <c r="D88" i="4" s="1"/>
  <c r="E88" i="4"/>
  <c r="E87" i="4" s="1"/>
  <c r="D87" i="4"/>
  <c r="F86" i="4"/>
  <c r="E86" i="4"/>
  <c r="E85" i="4" s="1"/>
  <c r="D86" i="4"/>
  <c r="F85" i="4"/>
  <c r="D85" i="4"/>
  <c r="F84" i="4"/>
  <c r="E84" i="4"/>
  <c r="E83" i="4" s="1"/>
  <c r="D84" i="4"/>
  <c r="F83" i="4"/>
  <c r="D83" i="4"/>
  <c r="F82" i="4"/>
  <c r="E82" i="4"/>
  <c r="E81" i="4" s="1"/>
  <c r="D82" i="4"/>
  <c r="F81" i="4"/>
  <c r="F80" i="4" s="1"/>
  <c r="F79" i="4" s="1"/>
  <c r="D81" i="4"/>
  <c r="E80" i="4"/>
  <c r="E79" i="4" s="1"/>
  <c r="F78" i="4"/>
  <c r="E78" i="4"/>
  <c r="E76" i="4" s="1"/>
  <c r="D78" i="4"/>
  <c r="F76" i="4"/>
  <c r="F75" i="4" s="1"/>
  <c r="F74" i="4" s="1"/>
  <c r="F73" i="4" s="1"/>
  <c r="D76" i="4"/>
  <c r="D75" i="4" s="1"/>
  <c r="E75" i="4"/>
  <c r="E74" i="4" s="1"/>
  <c r="E73" i="4" s="1"/>
  <c r="D74" i="4"/>
  <c r="D72" i="4"/>
  <c r="D71" i="4" s="1"/>
  <c r="F71" i="4"/>
  <c r="E71" i="4"/>
  <c r="E70" i="4" s="1"/>
  <c r="F70" i="4"/>
  <c r="D70" i="4"/>
  <c r="F68" i="4"/>
  <c r="E68" i="4"/>
  <c r="D68" i="4"/>
  <c r="D67" i="4"/>
  <c r="D66" i="4" s="1"/>
  <c r="F66" i="4"/>
  <c r="E66" i="4"/>
  <c r="E65" i="4" s="1"/>
  <c r="F65" i="4"/>
  <c r="D65" i="4"/>
  <c r="F64" i="4"/>
  <c r="E64" i="4"/>
  <c r="E63" i="4" s="1"/>
  <c r="D64" i="4"/>
  <c r="F63" i="4"/>
  <c r="F62" i="4" s="1"/>
  <c r="D63" i="4"/>
  <c r="D62" i="4" s="1"/>
  <c r="E62" i="4"/>
  <c r="F61" i="4"/>
  <c r="E61" i="4"/>
  <c r="E60" i="4" s="1"/>
  <c r="E59" i="4" s="1"/>
  <c r="D61" i="4"/>
  <c r="F60" i="4"/>
  <c r="F59" i="4" s="1"/>
  <c r="D60" i="4"/>
  <c r="D59" i="4" s="1"/>
  <c r="F58" i="4"/>
  <c r="F57" i="4" s="1"/>
  <c r="F56" i="4" s="1"/>
  <c r="F55" i="4" s="1"/>
  <c r="F54" i="4" s="1"/>
  <c r="E58" i="4"/>
  <c r="D58" i="4"/>
  <c r="D57" i="4" s="1"/>
  <c r="D56" i="4" s="1"/>
  <c r="E57" i="4"/>
  <c r="E56" i="4" s="1"/>
  <c r="E55" i="4" s="1"/>
  <c r="E54" i="4" s="1"/>
  <c r="D53" i="4"/>
  <c r="F52" i="4"/>
  <c r="F51" i="4" s="1"/>
  <c r="E52" i="4"/>
  <c r="D52" i="4"/>
  <c r="D51" i="4" s="1"/>
  <c r="E51" i="4"/>
  <c r="F49" i="4"/>
  <c r="F48" i="4" s="1"/>
  <c r="E49" i="4"/>
  <c r="D49" i="4"/>
  <c r="D48" i="4" s="1"/>
  <c r="E48" i="4"/>
  <c r="F46" i="4"/>
  <c r="E46" i="4"/>
  <c r="D46" i="4"/>
  <c r="F44" i="4"/>
  <c r="E44" i="4"/>
  <c r="E43" i="4" s="1"/>
  <c r="D44" i="4"/>
  <c r="F43" i="4"/>
  <c r="D43" i="4"/>
  <c r="F41" i="4"/>
  <c r="E41" i="4"/>
  <c r="D41" i="4"/>
  <c r="F40" i="4"/>
  <c r="D40" i="4"/>
  <c r="F38" i="4"/>
  <c r="E38" i="4"/>
  <c r="D38" i="4"/>
  <c r="D37" i="4"/>
  <c r="D36" i="4" s="1"/>
  <c r="F36" i="4"/>
  <c r="E36" i="4"/>
  <c r="F34" i="4"/>
  <c r="F33" i="4" s="1"/>
  <c r="E34" i="4"/>
  <c r="D34" i="4"/>
  <c r="D33" i="4" s="1"/>
  <c r="E33" i="4"/>
  <c r="F31" i="4"/>
  <c r="F30" i="4" s="1"/>
  <c r="F29" i="4" s="1"/>
  <c r="F28" i="4" s="1"/>
  <c r="E31" i="4"/>
  <c r="D31" i="4"/>
  <c r="D30" i="4" s="1"/>
  <c r="D29" i="4" s="1"/>
  <c r="E30" i="4"/>
  <c r="E29" i="4" s="1"/>
  <c r="E28" i="4" s="1"/>
  <c r="F27" i="4"/>
  <c r="F26" i="4" s="1"/>
  <c r="E27" i="4"/>
  <c r="D27" i="4"/>
  <c r="D26" i="4" s="1"/>
  <c r="E26" i="4"/>
  <c r="F25" i="4"/>
  <c r="F24" i="4" s="1"/>
  <c r="E25" i="4"/>
  <c r="D25" i="4"/>
  <c r="D24" i="4" s="1"/>
  <c r="E24" i="4"/>
  <c r="F23" i="4"/>
  <c r="F22" i="4" s="1"/>
  <c r="E23" i="4"/>
  <c r="D23" i="4"/>
  <c r="D22" i="4" s="1"/>
  <c r="E22" i="4"/>
  <c r="F21" i="4"/>
  <c r="F20" i="4" s="1"/>
  <c r="F19" i="4" s="1"/>
  <c r="F18" i="4" s="1"/>
  <c r="E21" i="4"/>
  <c r="D21" i="4"/>
  <c r="D20" i="4" s="1"/>
  <c r="D19" i="4" s="1"/>
  <c r="D18" i="4" s="1"/>
  <c r="E20" i="4"/>
  <c r="E19" i="4" s="1"/>
  <c r="E18" i="4" s="1"/>
  <c r="D17" i="4"/>
  <c r="D16" i="4"/>
  <c r="D12" i="4"/>
  <c r="D10" i="4" s="1"/>
  <c r="D9" i="4" s="1"/>
  <c r="F10" i="4"/>
  <c r="E10" i="4"/>
  <c r="E9" i="4" s="1"/>
  <c r="F9" i="4"/>
  <c r="E96" i="4" l="1"/>
  <c r="F217" i="4"/>
  <c r="F216" i="4" s="1"/>
  <c r="D217" i="4"/>
  <c r="D216" i="4" s="1"/>
  <c r="D28" i="4"/>
  <c r="E40" i="4"/>
  <c r="D55" i="4"/>
  <c r="D73" i="4"/>
  <c r="D103" i="4"/>
  <c r="D102" i="4" s="1"/>
  <c r="D101" i="4" s="1"/>
  <c r="D96" i="4" s="1"/>
  <c r="E113" i="4"/>
  <c r="D124" i="4"/>
  <c r="E223" i="4"/>
  <c r="E217" i="4" s="1"/>
  <c r="E216" i="4" s="1"/>
  <c r="D80" i="4"/>
  <c r="D79" i="4" s="1"/>
  <c r="F88" i="4"/>
  <c r="F87" i="4" s="1"/>
  <c r="F8" i="4" s="1"/>
  <c r="F307" i="4" s="1"/>
  <c r="E119" i="4"/>
  <c r="E125" i="4"/>
  <c r="E161" i="4"/>
  <c r="E171" i="4"/>
  <c r="F103" i="3"/>
  <c r="E103" i="3"/>
  <c r="D124" i="3"/>
  <c r="D171" i="3"/>
  <c r="D161" i="3"/>
  <c r="D125" i="3"/>
  <c r="D113" i="3"/>
  <c r="D103" i="3"/>
  <c r="D80" i="3"/>
  <c r="D73" i="3"/>
  <c r="D65" i="3"/>
  <c r="D29" i="3"/>
  <c r="D19" i="3"/>
  <c r="E124" i="4" l="1"/>
  <c r="E8" i="4" s="1"/>
  <c r="E307" i="4" s="1"/>
  <c r="D54" i="4"/>
  <c r="D8" i="4" s="1"/>
  <c r="D307" i="4" s="1"/>
  <c r="D300" i="3"/>
  <c r="D305" i="3"/>
  <c r="E246" i="3" l="1"/>
  <c r="F191" i="3" l="1"/>
  <c r="F190" i="3" s="1"/>
  <c r="E191" i="3"/>
  <c r="E190" i="3" s="1"/>
  <c r="D191" i="3"/>
  <c r="D23" i="3"/>
  <c r="D27" i="3"/>
  <c r="D25" i="3"/>
  <c r="D21" i="3"/>
  <c r="D248" i="3" l="1"/>
  <c r="D280" i="3"/>
  <c r="D283" i="3"/>
  <c r="D284" i="3"/>
  <c r="D262" i="3"/>
  <c r="D277" i="3"/>
  <c r="D275" i="3"/>
  <c r="D274" i="3"/>
  <c r="D273" i="3"/>
  <c r="D272" i="3"/>
  <c r="D271" i="3"/>
  <c r="D278" i="3"/>
  <c r="D246" i="3"/>
  <c r="F137" i="3" l="1"/>
  <c r="E137" i="3"/>
  <c r="F139" i="3"/>
  <c r="E139" i="3"/>
  <c r="F141" i="3"/>
  <c r="E141" i="3"/>
  <c r="F143" i="3"/>
  <c r="E143" i="3"/>
  <c r="D143" i="3"/>
  <c r="D141" i="3"/>
  <c r="D139" i="3"/>
  <c r="D137" i="3"/>
  <c r="F149" i="3"/>
  <c r="E149" i="3"/>
  <c r="D149" i="3"/>
  <c r="D134" i="3"/>
  <c r="D168" i="3" l="1"/>
  <c r="D108" i="3" l="1"/>
  <c r="D37" i="3"/>
  <c r="D12" i="3"/>
  <c r="D17" i="3"/>
  <c r="D16" i="3"/>
  <c r="D121" i="3"/>
  <c r="D167" i="3" l="1"/>
  <c r="D123" i="3"/>
  <c r="D105" i="3"/>
  <c r="D100" i="3"/>
  <c r="D86" i="3"/>
  <c r="D67" i="3"/>
  <c r="D61" i="3"/>
  <c r="D58" i="3"/>
  <c r="D170" i="3"/>
  <c r="D111" i="3"/>
  <c r="D110" i="3"/>
  <c r="D165" i="3" l="1"/>
  <c r="F292" i="3"/>
  <c r="E292" i="3"/>
  <c r="D292" i="3"/>
  <c r="D222" i="3"/>
  <c r="D72" i="3" l="1"/>
  <c r="D177" i="3" l="1"/>
  <c r="F172" i="3" l="1"/>
  <c r="E172" i="3"/>
  <c r="F117" i="3"/>
  <c r="E117" i="3"/>
  <c r="D117" i="3"/>
  <c r="F92" i="3"/>
  <c r="E92" i="3"/>
  <c r="D92" i="3"/>
  <c r="F90" i="3"/>
  <c r="E90" i="3"/>
  <c r="D90" i="3"/>
  <c r="F89" i="3"/>
  <c r="E89" i="3"/>
  <c r="D89" i="3"/>
  <c r="D174" i="3"/>
  <c r="D172" i="3" s="1"/>
  <c r="F176" i="3"/>
  <c r="E176" i="3"/>
  <c r="D176" i="3"/>
  <c r="F302" i="3" l="1"/>
  <c r="E302" i="3"/>
  <c r="D298" i="3"/>
  <c r="D304" i="3"/>
  <c r="F162" i="3" l="1"/>
  <c r="E162" i="3"/>
  <c r="D162" i="3"/>
  <c r="F68" i="3"/>
  <c r="E68" i="3"/>
  <c r="D68" i="3"/>
  <c r="F66" i="3"/>
  <c r="E66" i="3"/>
  <c r="D66" i="3"/>
  <c r="F65" i="3" l="1"/>
  <c r="E65" i="3"/>
  <c r="D179" i="3" l="1"/>
  <c r="E179" i="3"/>
  <c r="E178" i="3" s="1"/>
  <c r="F179" i="3"/>
  <c r="F178" i="3" s="1"/>
  <c r="D178" i="3" l="1"/>
  <c r="E171" i="3"/>
  <c r="F171" i="3"/>
  <c r="F290" i="3" l="1"/>
  <c r="E290" i="3"/>
  <c r="D290" i="3"/>
  <c r="F228" i="3"/>
  <c r="E228" i="3"/>
  <c r="D228" i="3"/>
  <c r="F226" i="3"/>
  <c r="E226" i="3"/>
  <c r="D226" i="3"/>
  <c r="F224" i="3"/>
  <c r="E224" i="3"/>
  <c r="F297" i="3" l="1"/>
  <c r="F296" i="3" s="1"/>
  <c r="F295" i="3" s="1"/>
  <c r="F294" i="3" s="1"/>
  <c r="E297" i="3"/>
  <c r="E296" i="3" s="1"/>
  <c r="E295" i="3" s="1"/>
  <c r="E294" i="3" s="1"/>
  <c r="F301" i="3"/>
  <c r="E301" i="3"/>
  <c r="D299" i="3"/>
  <c r="D303" i="3"/>
  <c r="D302" i="3" s="1"/>
  <c r="D301" i="3" s="1"/>
  <c r="D297" i="3" l="1"/>
  <c r="D296" i="3" s="1"/>
  <c r="D295" i="3" s="1"/>
  <c r="D294" i="3" s="1"/>
  <c r="F286" i="3"/>
  <c r="E286" i="3"/>
  <c r="D286" i="3"/>
  <c r="F288" i="3"/>
  <c r="D288" i="3"/>
  <c r="E288" i="3"/>
  <c r="D285" i="3" l="1"/>
  <c r="F285" i="3"/>
  <c r="E285" i="3"/>
  <c r="F234" i="3"/>
  <c r="E234" i="3"/>
  <c r="D234" i="3"/>
  <c r="F240" i="3"/>
  <c r="E240" i="3"/>
  <c r="D240" i="3"/>
  <c r="F238" i="3"/>
  <c r="E238" i="3"/>
  <c r="D238" i="3"/>
  <c r="D233" i="3"/>
  <c r="E237" i="3"/>
  <c r="D237" i="3"/>
  <c r="F221" i="3" l="1"/>
  <c r="E221" i="3"/>
  <c r="D221" i="3"/>
  <c r="F10" i="3" l="1"/>
  <c r="E10" i="3"/>
  <c r="D10" i="3"/>
  <c r="D102" i="3" l="1"/>
  <c r="D194" i="3"/>
  <c r="D190" i="3" l="1"/>
  <c r="F31" i="3"/>
  <c r="F30" i="3" s="1"/>
  <c r="E31" i="3"/>
  <c r="E30" i="3" s="1"/>
  <c r="F34" i="3"/>
  <c r="E34" i="3"/>
  <c r="F278" i="3" l="1"/>
  <c r="E278" i="3"/>
  <c r="F268" i="3"/>
  <c r="E268" i="3"/>
  <c r="D268" i="3"/>
  <c r="F270" i="3"/>
  <c r="E270" i="3"/>
  <c r="D270" i="3"/>
  <c r="F242" i="3"/>
  <c r="E242" i="3"/>
  <c r="D242" i="3"/>
  <c r="F251" i="3" l="1"/>
  <c r="E251" i="3"/>
  <c r="D251" i="3"/>
  <c r="F250" i="3"/>
  <c r="E250" i="3"/>
  <c r="D250" i="3"/>
  <c r="D249" i="3"/>
  <c r="F231" i="3"/>
  <c r="E231" i="3"/>
  <c r="D231" i="3"/>
  <c r="E245" i="3" l="1"/>
  <c r="F245" i="3"/>
  <c r="F160" i="3"/>
  <c r="E160" i="3"/>
  <c r="D160" i="3"/>
  <c r="F184" i="3"/>
  <c r="E184" i="3"/>
  <c r="D184" i="3"/>
  <c r="F78" i="3"/>
  <c r="E78" i="3"/>
  <c r="D78" i="3"/>
  <c r="F168" i="3"/>
  <c r="E168" i="3"/>
  <c r="F167" i="3"/>
  <c r="F165" i="3" s="1"/>
  <c r="E167" i="3"/>
  <c r="E165" i="3" s="1"/>
  <c r="F86" i="3"/>
  <c r="E86" i="3"/>
  <c r="F84" i="3"/>
  <c r="E84" i="3"/>
  <c r="D84" i="3"/>
  <c r="F82" i="3"/>
  <c r="E82" i="3"/>
  <c r="D82" i="3"/>
  <c r="F64" i="3"/>
  <c r="E64" i="3"/>
  <c r="D64" i="3"/>
  <c r="F61" i="3"/>
  <c r="E61" i="3"/>
  <c r="F58" i="3"/>
  <c r="E58" i="3"/>
  <c r="D53" i="3"/>
  <c r="D34" i="3" l="1"/>
  <c r="D31" i="3"/>
  <c r="D30" i="3" s="1"/>
  <c r="F27" i="3" l="1"/>
  <c r="E27" i="3"/>
  <c r="F25" i="3"/>
  <c r="E25" i="3"/>
  <c r="F23" i="3"/>
  <c r="E23" i="3"/>
  <c r="F21" i="3"/>
  <c r="E21" i="3"/>
  <c r="D33" i="3" l="1"/>
  <c r="F219" i="3" l="1"/>
  <c r="F218" i="3" s="1"/>
  <c r="E219" i="3"/>
  <c r="E218" i="3" s="1"/>
  <c r="D219" i="3"/>
  <c r="D218" i="3" s="1"/>
  <c r="F161" i="3"/>
  <c r="E161" i="3"/>
  <c r="D147" i="3"/>
  <c r="E147" i="3"/>
  <c r="F147" i="3"/>
  <c r="F91" i="3"/>
  <c r="E91" i="3"/>
  <c r="D91" i="3"/>
  <c r="D88" i="3" s="1"/>
  <c r="F36" i="3" l="1"/>
  <c r="E36" i="3"/>
  <c r="D36" i="3"/>
  <c r="D267" i="3" l="1"/>
  <c r="D266" i="3" s="1"/>
  <c r="D260" i="3"/>
  <c r="D245" i="3" s="1"/>
  <c r="F132" i="3" l="1"/>
  <c r="E132" i="3"/>
  <c r="D132" i="3"/>
  <c r="F129" i="3"/>
  <c r="E129" i="3"/>
  <c r="D129" i="3"/>
  <c r="F126" i="3"/>
  <c r="E126" i="3"/>
  <c r="D126" i="3"/>
  <c r="F282" i="3" l="1"/>
  <c r="F281" i="3" s="1"/>
  <c r="E282" i="3"/>
  <c r="D282" i="3"/>
  <c r="D281" i="3" s="1"/>
  <c r="E281" i="3"/>
  <c r="F279" i="3"/>
  <c r="E279" i="3"/>
  <c r="D279" i="3"/>
  <c r="F267" i="3"/>
  <c r="F266" i="3" s="1"/>
  <c r="E267" i="3"/>
  <c r="E266" i="3" s="1"/>
  <c r="F244" i="3"/>
  <c r="E244" i="3"/>
  <c r="D244" i="3"/>
  <c r="F236" i="3"/>
  <c r="E236" i="3"/>
  <c r="D236" i="3"/>
  <c r="F232" i="3"/>
  <c r="D232" i="3"/>
  <c r="E232" i="3"/>
  <c r="F230" i="3"/>
  <c r="E230" i="3"/>
  <c r="D230" i="3"/>
  <c r="F188" i="3"/>
  <c r="F187" i="3" s="1"/>
  <c r="F186" i="3" s="1"/>
  <c r="E188" i="3"/>
  <c r="E187" i="3" s="1"/>
  <c r="E186" i="3" s="1"/>
  <c r="D188" i="3"/>
  <c r="D187" i="3" s="1"/>
  <c r="D186" i="3" s="1"/>
  <c r="F183" i="3"/>
  <c r="F182" i="3" s="1"/>
  <c r="E183" i="3"/>
  <c r="E182" i="3" s="1"/>
  <c r="D183" i="3"/>
  <c r="D182" i="3" s="1"/>
  <c r="F159" i="3"/>
  <c r="E159" i="3"/>
  <c r="D159" i="3"/>
  <c r="F156" i="3"/>
  <c r="E156" i="3"/>
  <c r="D156" i="3"/>
  <c r="F153" i="3"/>
  <c r="E153" i="3"/>
  <c r="D153" i="3"/>
  <c r="F151" i="3"/>
  <c r="E151" i="3"/>
  <c r="D151" i="3"/>
  <c r="F145" i="3"/>
  <c r="E145" i="3"/>
  <c r="D145" i="3"/>
  <c r="F135" i="3"/>
  <c r="E135" i="3"/>
  <c r="D135" i="3"/>
  <c r="F122" i="3"/>
  <c r="E122" i="3"/>
  <c r="D122" i="3"/>
  <c r="F120" i="3"/>
  <c r="E120" i="3"/>
  <c r="D120" i="3"/>
  <c r="F115" i="3"/>
  <c r="F114" i="3" s="1"/>
  <c r="E115" i="3"/>
  <c r="E114" i="3" s="1"/>
  <c r="D115" i="3"/>
  <c r="D114" i="3" s="1"/>
  <c r="E102" i="3"/>
  <c r="E101" i="3" s="1"/>
  <c r="F102" i="3"/>
  <c r="F101" i="3" s="1"/>
  <c r="D101" i="3"/>
  <c r="F99" i="3"/>
  <c r="F98" i="3" s="1"/>
  <c r="F97" i="3" s="1"/>
  <c r="E99" i="3"/>
  <c r="E98" i="3" s="1"/>
  <c r="E97" i="3" s="1"/>
  <c r="D99" i="3"/>
  <c r="D98" i="3" s="1"/>
  <c r="D97" i="3" s="1"/>
  <c r="F94" i="3"/>
  <c r="F93" i="3" s="1"/>
  <c r="E94" i="3"/>
  <c r="D94" i="3"/>
  <c r="D93" i="3" s="1"/>
  <c r="D87" i="3" s="1"/>
  <c r="E93" i="3"/>
  <c r="F88" i="3"/>
  <c r="E88" i="3"/>
  <c r="F85" i="3"/>
  <c r="E85" i="3"/>
  <c r="D85" i="3"/>
  <c r="F83" i="3"/>
  <c r="E83" i="3"/>
  <c r="D83" i="3"/>
  <c r="F81" i="3"/>
  <c r="E81" i="3"/>
  <c r="D81" i="3"/>
  <c r="F76" i="3"/>
  <c r="F75" i="3" s="1"/>
  <c r="F74" i="3" s="1"/>
  <c r="E76" i="3"/>
  <c r="E75" i="3" s="1"/>
  <c r="E74" i="3" s="1"/>
  <c r="D76" i="3"/>
  <c r="D75" i="3" s="1"/>
  <c r="D74" i="3" s="1"/>
  <c r="F71" i="3"/>
  <c r="F70" i="3" s="1"/>
  <c r="E71" i="3"/>
  <c r="E70" i="3" s="1"/>
  <c r="D71" i="3"/>
  <c r="D70" i="3" s="1"/>
  <c r="F63" i="3"/>
  <c r="F62" i="3" s="1"/>
  <c r="E63" i="3"/>
  <c r="E62" i="3" s="1"/>
  <c r="D63" i="3"/>
  <c r="D62" i="3" s="1"/>
  <c r="F60" i="3"/>
  <c r="F59" i="3" s="1"/>
  <c r="E60" i="3"/>
  <c r="E59" i="3" s="1"/>
  <c r="D60" i="3"/>
  <c r="D59" i="3" s="1"/>
  <c r="F57" i="3"/>
  <c r="F56" i="3" s="1"/>
  <c r="E57" i="3"/>
  <c r="E56" i="3" s="1"/>
  <c r="D57" i="3"/>
  <c r="D56" i="3" s="1"/>
  <c r="F52" i="3"/>
  <c r="F51" i="3" s="1"/>
  <c r="E52" i="3"/>
  <c r="E51" i="3" s="1"/>
  <c r="D52" i="3"/>
  <c r="D51" i="3" s="1"/>
  <c r="F49" i="3"/>
  <c r="E49" i="3"/>
  <c r="D49" i="3"/>
  <c r="F46" i="3"/>
  <c r="E46" i="3"/>
  <c r="D46" i="3"/>
  <c r="F44" i="3"/>
  <c r="E44" i="3"/>
  <c r="D44" i="3"/>
  <c r="F41" i="3"/>
  <c r="E41" i="3"/>
  <c r="D41" i="3"/>
  <c r="F38" i="3"/>
  <c r="E38" i="3"/>
  <c r="D38" i="3"/>
  <c r="F33" i="3"/>
  <c r="F29" i="3" s="1"/>
  <c r="E33" i="3"/>
  <c r="E29" i="3" s="1"/>
  <c r="F26" i="3"/>
  <c r="E26" i="3"/>
  <c r="D26" i="3"/>
  <c r="F24" i="3"/>
  <c r="E24" i="3"/>
  <c r="D24" i="3"/>
  <c r="F22" i="3"/>
  <c r="E22" i="3"/>
  <c r="D22" i="3"/>
  <c r="D20" i="3"/>
  <c r="F20" i="3"/>
  <c r="E20" i="3"/>
  <c r="F9" i="3"/>
  <c r="E9" i="3"/>
  <c r="D9" i="3"/>
  <c r="E87" i="3" l="1"/>
  <c r="D223" i="3"/>
  <c r="E223" i="3"/>
  <c r="F223" i="3"/>
  <c r="D96" i="3"/>
  <c r="D43" i="3"/>
  <c r="D79" i="3"/>
  <c r="D119" i="3"/>
  <c r="D265" i="3"/>
  <c r="D40" i="3"/>
  <c r="D55" i="3"/>
  <c r="D54" i="3" s="1"/>
  <c r="D18" i="3"/>
  <c r="F265" i="3"/>
  <c r="E265" i="3"/>
  <c r="E125" i="3"/>
  <c r="F125" i="3"/>
  <c r="F124" i="3" s="1"/>
  <c r="F19" i="3"/>
  <c r="F18" i="3" s="1"/>
  <c r="F87" i="3"/>
  <c r="E19" i="3"/>
  <c r="E18" i="3" s="1"/>
  <c r="F55" i="3"/>
  <c r="E55" i="3"/>
  <c r="E119" i="3"/>
  <c r="E113" i="3" s="1"/>
  <c r="F28" i="3"/>
  <c r="E43" i="3"/>
  <c r="E40" i="3" s="1"/>
  <c r="E80" i="3"/>
  <c r="E79" i="3" s="1"/>
  <c r="E73" i="3" s="1"/>
  <c r="F119" i="3"/>
  <c r="F113" i="3" s="1"/>
  <c r="D28" i="3"/>
  <c r="D48" i="3"/>
  <c r="F48" i="3"/>
  <c r="E48" i="3"/>
  <c r="E96" i="3"/>
  <c r="F80" i="3"/>
  <c r="F79" i="3" s="1"/>
  <c r="F73" i="3" s="1"/>
  <c r="F43" i="3"/>
  <c r="F40" i="3" s="1"/>
  <c r="E28" i="3"/>
  <c r="F96" i="3"/>
  <c r="E54" i="3" l="1"/>
  <c r="F54" i="3"/>
  <c r="F217" i="3"/>
  <c r="D217" i="3"/>
  <c r="D216" i="3" s="1"/>
  <c r="E217" i="3"/>
  <c r="E216" i="3" s="1"/>
  <c r="D8" i="3"/>
  <c r="F216" i="3"/>
  <c r="F8" i="3"/>
  <c r="E124" i="3"/>
  <c r="D307" i="3" l="1"/>
  <c r="E8" i="3"/>
  <c r="E307" i="3" s="1"/>
  <c r="F307" i="3"/>
</calcChain>
</file>

<file path=xl/sharedStrings.xml><?xml version="1.0" encoding="utf-8"?>
<sst xmlns="http://schemas.openxmlformats.org/spreadsheetml/2006/main" count="1822" uniqueCount="560">
  <si>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</si>
  <si>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</si>
  <si>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</si>
  <si>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</si>
  <si>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</si>
  <si>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</si>
  <si>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</si>
  <si>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</si>
  <si>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</si>
  <si>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</si>
  <si>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</si>
  <si>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</si>
  <si>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</si>
  <si>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</si>
  <si>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</si>
  <si>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</si>
  <si>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</si>
  <si>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</si>
  <si>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</si>
  <si>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</si>
  <si>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</si>
  <si>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</si>
  <si>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</si>
  <si>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</si>
  <si>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</si>
  <si>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</si>
  <si>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</si>
  <si>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</si>
  <si>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</si>
  <si>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</si>
  <si>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</si>
  <si>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</si>
  <si>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</si>
  <si>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</si>
  <si>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</si>
  <si>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</si>
  <si>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</si>
  <si>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</si>
  <si>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</si>
  <si>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</si>
  <si>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</si>
  <si>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</si>
  <si>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</si>
  <si>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</si>
  <si>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</si>
  <si>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</si>
  <si>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</si>
  <si>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</si>
  <si>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</si>
  <si>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</si>
  <si>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</si>
  <si>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</si>
  <si>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</si>
  <si>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</si>
  <si>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</si>
  <si>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</si>
  <si>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</si>
  <si>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</si>
  <si>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</si>
  <si>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</si>
  <si>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</si>
  <si>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</si>
  <si>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</si>
  <si>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</si>
  <si>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</si>
  <si>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</si>
  <si>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</si>
  <si>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</si>
  <si>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</si>
  <si>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</si>
  <si>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</si>
  <si>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</si>
  <si>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</si>
  <si>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</si>
  <si>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</si>
  <si>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</si>
  <si>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</si>
  <si>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</si>
  <si>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</si>
  <si>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</si>
  <si>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</si>
  <si>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</si>
  <si>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</si>
  <si>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</si>
  <si>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</si>
  <si>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</si>
  <si>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</si>
  <si>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</si>
  <si>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</si>
  <si>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</si>
  <si>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</si>
  <si>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</si>
  <si>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</si>
  <si>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</si>
  <si>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</si>
  <si>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</si>
  <si>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</si>
  <si>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</si>
  <si>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</si>
  <si>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</si>
  <si>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</si>
  <si>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</si>
  <si>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</si>
  <si>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</si>
  <si>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</si>
  <si>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</si>
  <si>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</si>
  <si>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</si>
  <si>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</si>
  <si>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</si>
  <si>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</si>
  <si>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</si>
  <si>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</si>
  <si>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</si>
  <si>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</si>
  <si>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</si>
  <si>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</si>
  <si>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</si>
  <si>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</si>
  <si>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</si>
  <si>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</si>
  <si>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</si>
  <si>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</si>
  <si>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</si>
  <si>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</si>
  <si>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</si>
  <si>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</si>
  <si>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</si>
  <si>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</si>
  <si>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</si>
  <si>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</si>
  <si>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</si>
  <si>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</si>
  <si>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</si>
  <si>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</si>
  <si>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</si>
  <si>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</si>
  <si>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</si>
  <si>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</si>
  <si>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</si>
  <si>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</si>
  <si>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</si>
  <si>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</si>
  <si>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</si>
  <si>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</si>
  <si>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</si>
  <si>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</si>
  <si>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</si>
  <si>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</si>
  <si>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</si>
  <si>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</si>
  <si>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</si>
  <si>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</si>
  <si>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</si>
  <si>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</si>
  <si>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</si>
  <si>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</si>
  <si>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</si>
  <si>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</si>
  <si>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</si>
  <si>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</si>
  <si>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</si>
  <si>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</si>
  <si>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</si>
  <si>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</si>
  <si>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</si>
  <si>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</si>
  <si>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</si>
  <si>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</si>
  <si>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</si>
  <si>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</si>
  <si>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</si>
  <si>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</si>
  <si>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</si>
  <si>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</si>
  <si>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</si>
  <si>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</si>
  <si>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</si>
  <si>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</si>
  <si>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</si>
  <si>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</si>
  <si>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</si>
  <si>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</si>
  <si>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</si>
  <si>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</si>
  <si>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</si>
  <si>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</si>
  <si>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</si>
  <si>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</si>
  <si>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</si>
  <si>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</si>
  <si>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</si>
  <si>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</si>
  <si>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</si>
  <si>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</si>
  <si>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</si>
  <si>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</si>
  <si>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</si>
  <si>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</si>
  <si>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</si>
  <si>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</si>
  <si>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</si>
  <si>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</si>
  <si>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</si>
  <si>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</si>
  <si>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</si>
  <si>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</si>
  <si>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</si>
  <si>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</si>
  <si>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</si>
  <si>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</si>
  <si>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</si>
  <si>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</si>
  <si>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</si>
  <si>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</si>
  <si>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</si>
  <si>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</si>
  <si>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</si>
  <si>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</si>
  <si>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</si>
  <si>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</si>
  <si>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</si>
  <si>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</si>
  <si>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</si>
  <si>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</si>
  <si>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</si>
  <si>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</si>
  <si>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</si>
  <si>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</si>
  <si>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</si>
  <si>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</si>
  <si>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</si>
  <si>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</si>
  <si>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</si>
  <si>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</si>
  <si>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</si>
  <si>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</si>
  <si>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</si>
  <si>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</si>
  <si>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</si>
  <si>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</si>
  <si>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</si>
  <si>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</si>
  <si>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</si>
  <si>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</si>
  <si>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</si>
  <si>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</si>
  <si>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</si>
  <si>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</si>
  <si>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</si>
  <si>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</si>
  <si>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</si>
  <si>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</si>
  <si>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</si>
  <si>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</si>
  <si>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</si>
  <si>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</si>
  <si>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</si>
  <si>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</si>
  <si>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</si>
  <si>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</si>
  <si>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</si>
  <si>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</si>
  <si>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</si>
  <si>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</si>
  <si>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</si>
  <si>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</si>
  <si>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</si>
  <si>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</si>
  <si>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</si>
  <si>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</si>
  <si>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</si>
  <si>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</si>
  <si>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</si>
  <si>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</si>
  <si>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</si>
  <si>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</si>
  <si>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</si>
  <si>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</si>
  <si>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</si>
  <si>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</si>
  <si>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</si>
  <si>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</si>
  <si>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</si>
  <si>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</si>
  <si>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</si>
  <si>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</si>
  <si>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</si>
  <si>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</si>
  <si>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</si>
  <si>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</si>
  <si>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</si>
  <si>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</si>
  <si>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</si>
  <si>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</si>
  <si>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</si>
  <si>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</si>
  <si>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</si>
  <si>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</si>
  <si>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</si>
  <si>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</si>
  <si>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</si>
  <si>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</si>
  <si>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</si>
  <si>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</si>
  <si>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</si>
  <si>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</si>
  <si>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</si>
  <si>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</si>
  <si>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</si>
  <si>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</si>
  <si>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</si>
  <si>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</si>
  <si>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</si>
  <si>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</si>
  <si>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</si>
  <si>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</si>
  <si>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</si>
  <si>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</si>
  <si>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</si>
  <si>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</si>
  <si>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</si>
  <si>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</si>
  <si>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</si>
  <si>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</si>
  <si>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</si>
  <si>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</si>
  <si>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</si>
  <si>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</si>
  <si>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</si>
  <si>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</si>
  <si>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</si>
  <si>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</si>
  <si>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</si>
  <si>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</si>
  <si>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</si>
  <si>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</si>
  <si>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</si>
  <si>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</si>
  <si>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</si>
  <si>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</si>
  <si>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</si>
  <si>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</si>
  <si>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</si>
  <si>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</si>
  <si>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</si>
  <si>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</si>
  <si>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</si>
  <si>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</si>
  <si>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</si>
  <si>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</si>
  <si>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</si>
  <si>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</si>
  <si>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</si>
  <si>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</si>
  <si>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</si>
  <si>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</si>
  <si>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</si>
  <si>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</si>
  <si>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</si>
  <si>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</si>
  <si>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</si>
  <si>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</si>
  <si>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</si>
  <si>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</si>
  <si>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</si>
  <si>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</si>
  <si>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</si>
  <si>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</si>
  <si>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</si>
  <si>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</si>
  <si>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</si>
  <si>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</si>
  <si>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</si>
  <si>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</si>
  <si>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</si>
  <si>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</si>
  <si>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</si>
  <si>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</si>
  <si>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</si>
  <si>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</si>
  <si>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</si>
  <si>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</si>
  <si>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</si>
  <si>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</si>
  <si>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</si>
  <si>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</si>
  <si>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</si>
  <si>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</si>
  <si>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</si>
  <si>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</si>
  <si>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</si>
  <si>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</si>
  <si>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</si>
  <si>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</si>
  <si>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</si>
  <si>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</si>
  <si>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</si>
  <si>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</si>
  <si>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</si>
  <si>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</si>
  <si>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</si>
  <si>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</si>
  <si>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</si>
  <si>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</si>
  <si>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</si>
  <si>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</si>
  <si>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</si>
  <si>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</si>
  <si>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</si>
  <si>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</si>
  <si>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</si>
  <si>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</si>
  <si>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</si>
  <si>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</si>
  <si>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</si>
  <si>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</si>
  <si>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</si>
  <si>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</si>
  <si>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</si>
  <si>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</si>
  <si>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</si>
  <si>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</si>
  <si>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</si>
  <si>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</si>
  <si>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</si>
  <si>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</si>
  <si>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</si>
  <si>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</si>
  <si>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</si>
  <si>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</si>
  <si>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</si>
  <si>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</si>
  <si>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</si>
  <si>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</si>
  <si>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</si>
  <si>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</si>
  <si>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</si>
  <si>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</si>
  <si>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</si>
  <si>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</si>
  <si>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</si>
  <si>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</si>
  <si>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</si>
  <si>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</si>
  <si>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</si>
  <si>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</si>
  <si>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</si>
  <si>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</si>
  <si>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2 02 25081 00 0000 150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</si>
  <si>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</si>
  <si>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</si>
  <si>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</si>
  <si>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</si>
  <si>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</si>
  <si>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</si>
  <si>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</si>
  <si>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</si>
  <si>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</si>
  <si>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</si>
  <si>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908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</si>
  <si>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</si>
  <si>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</si>
  <si>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</si>
  <si>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</si>
  <si>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</si>
  <si>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</si>
  <si>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</si>
  <si>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</si>
  <si>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</si>
  <si>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</si>
  <si>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</si>
  <si>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</si>
  <si>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</si>
  <si>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</si>
  <si>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</si>
  <si>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</si>
  <si>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</si>
  <si>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</si>
  <si>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</si>
  <si>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</si>
  <si>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</si>
  <si>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</si>
  <si>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</si>
  <si>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</si>
  <si>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</si>
  <si>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</si>
  <si>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</si>
  <si>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</si>
  <si>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1 16 10100 04 0000 140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</si>
  <si>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</si>
  <si>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</si>
  <si>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</si>
  <si>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</si>
  <si>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</si>
  <si>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</si>
  <si>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 2 02 49999 00 0000 150</t>
  </si>
  <si>
    <t>2 02 49999 04 0000 150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</si>
  <si>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</si>
  <si>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</si>
  <si>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1 16 07 090 04 0000 140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</si>
  <si>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</si>
  <si>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</si>
  <si>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</si>
  <si>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</si>
  <si>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энергетитки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</si>
  <si>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</si>
  <si>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</si>
  <si>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</si>
  <si>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</si>
  <si>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1 16 01111 01 0000 140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</si>
  <si>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</si>
  <si>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</si>
  <si>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</si>
  <si>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</si>
  <si>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</si>
  <si>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00.10.2023 г. № 00/000
</t>
  </si>
  <si>
    <t>Инициативные платежи, зачисляемые в бюджеты городских округов (Благоустройство территории расположения комплекса по увековечению памяти погибших участников СВО)</t>
  </si>
  <si>
    <t>Инициативные платежи, зачисляемые в бюджеты городских округов (Создание мемориального комплекса по увековечиванию памяти погибших участников СВО)</t>
  </si>
  <si>
    <t>Инициативные платежи, зачисляемые в бюджеты городских округов(«Аллея героев», Тихий фронт Усть-Илимска)</t>
  </si>
  <si>
    <t>Инициативные платежи, зачисляемые в бюджеты городских округов (Ремонт участка автомобильной дороги местного значения по Усть-Илимскому шоссе от заправки № 101 в сторону У-ИГЭС)</t>
  </si>
  <si>
    <t>Инициативные платежи, зачисляемые в бюджеты городских округов (Ремонт участка автомобильной дороги местного значения от автодороги № 105 У-ИГЭС в сторону Усть-Илимского шоссе)</t>
  </si>
  <si>
    <t>Инициативные платежи, зачисляемые в бюджеты городских округов (Благоустройство территории МАУ «Лагерь отдыха и оздоровления «Лосенок»)</t>
  </si>
  <si>
    <t>Инициативные платежи, зачисляемые в бюджеты городских округов (Благоустройство прилегающей территории Спортивно-молодежного центра «Притяжение»)</t>
  </si>
  <si>
    <t>Инициативные платежи, зачисляемые в бюджеты городских округов (Проведение текущего ремонта кровли зданий Центральной детской библиотеки «Первоцвет» и библиотеки искусств Муниципального бюджетного учреждения культуры «Централизованная библиотечная система муниципального образования город Усть-Илимск»)</t>
  </si>
  <si>
    <t>Инициативные платежи, зачисляемые в бюджеты городских округов (Благоустройство прилегающей территории к центральному входу МБОУ «Средняя общеобразовательная школа № 1»)</t>
  </si>
  <si>
    <t>Инициативные платежи, зачисляемые в бюджеты городских округов (Организация детской, спортивно-игровой площадки «Спорт с внуками рядом»)</t>
  </si>
  <si>
    <t>Инициативные платежи, зачисляемые в бюджеты городских округов (Благоустройство территории, прилегающей к МБОУ «Средняя общеобразовательная школа № 1»)</t>
  </si>
  <si>
    <t>Инициативные платежи, зачисляемые в бюджеты городских округов (Текущий ремонт помещений бассейна Муниципального бюджетного дошкольного образовательного учреждения «Детский сад № 35 «Соболек» по адресу: город Усть-Илимск, проспект Мира, 66)</t>
  </si>
  <si>
    <t>Инициативные платежи, зачисляемые в бюджеты городских округов (Организация детской научно-развивающей площадки «ИгроГрад»)</t>
  </si>
  <si>
    <t>Инициативные платежи, зачисляемые в бюджеты городских округов (Организация детской игровой площадки – «Ромашка»)</t>
  </si>
  <si>
    <t>1 17 15020 04 0160 150</t>
  </si>
  <si>
    <t>1 17 15020 04 0170 150</t>
  </si>
  <si>
    <t>1 17 15020 04 0180 150</t>
  </si>
  <si>
    <t>1 17 15020 04 0190 150</t>
  </si>
  <si>
    <t>1 17 15020 04 0200 150</t>
  </si>
  <si>
    <t>1 17 15020 04 0210 150</t>
  </si>
  <si>
    <t>1 17 15020 04 0220 150</t>
  </si>
  <si>
    <t>1 17 15020 04 0230 150</t>
  </si>
  <si>
    <t>1 17 15020 04 0240 150</t>
  </si>
  <si>
    <t>1 17 15020 04 0250 150</t>
  </si>
  <si>
    <t>1 17 15020 04 0260 150</t>
  </si>
  <si>
    <t>1 17 15020 04 0270 150</t>
  </si>
  <si>
    <t>1 17 15020 04 0280 150</t>
  </si>
  <si>
    <t>1 17 15020 04 0290 150</t>
  </si>
  <si>
    <t>1 17 15020 04 0300 150</t>
  </si>
  <si>
    <t xml:space="preserve"> 1 14 03040 04 0000 410</t>
  </si>
  <si>
    <t>1 16 01090 01 0000 140</t>
  </si>
  <si>
    <t>1 16 01093 01 0000 140</t>
  </si>
  <si>
    <t>1 16 01103 01 0000 140</t>
  </si>
  <si>
    <t>1 16 01133 01 0000 140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</si>
  <si>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</si>
  <si>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</si>
  <si>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</si>
  <si>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области)</t>
  </si>
  <si>
    <t>Прочие межбюджетные трансферты, передаваемые бюджетам городских округов (иные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</si>
  <si>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</si>
  <si>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19.10.2023 г. № 52/403
</t>
  </si>
  <si>
    <t xml:space="preserve">                                       Е.В. Стариков</t>
  </si>
  <si>
    <t>И.о. главы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</si>
</sst>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  <numFmt numFmtId="169" formatCode="dd\.mm\.yyyy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0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20" fillId="0" borderId="0"/>
    <xf numFmtId="0" fontId="21" fillId="0" borderId="0"/>
    <xf numFmtId="0" fontId="22" fillId="0" borderId="0"/>
    <xf numFmtId="0" fontId="23" fillId="0" borderId="0">
      <alignment horizontal="center" wrapText="1"/>
    </xf>
    <xf numFmtId="0" fontId="24" fillId="0" borderId="7"/>
    <xf numFmtId="0" fontId="24" fillId="0" borderId="0"/>
    <xf numFmtId="0" fontId="25" fillId="0" borderId="0"/>
    <xf numFmtId="0" fontId="23" fillId="0" borderId="0">
      <alignment horizontal="left" wrapText="1"/>
    </xf>
    <xf numFmtId="0" fontId="26" fillId="0" borderId="0"/>
    <xf numFmtId="0" fontId="27" fillId="0" borderId="0"/>
    <xf numFmtId="0" fontId="24" fillId="0" borderId="8"/>
    <xf numFmtId="0" fontId="13" fillId="0" borderId="9">
      <alignment horizontal="center"/>
    </xf>
    <xf numFmtId="0" fontId="25" fillId="0" borderId="10"/>
    <xf numFmtId="0" fontId="13" fillId="0" borderId="0">
      <alignment horizontal="left"/>
    </xf>
    <xf numFmtId="0" fontId="28" fillId="0" borderId="0">
      <alignment horizontal="center" vertical="top"/>
    </xf>
    <xf numFmtId="49" fontId="29" fillId="0" borderId="11">
      <alignment horizontal="right"/>
    </xf>
    <xf numFmtId="49" fontId="25" fillId="0" borderId="12">
      <alignment horizontal="center"/>
    </xf>
    <xf numFmtId="0" fontId="25" fillId="0" borderId="13"/>
    <xf numFmtId="49" fontId="25" fillId="0" borderId="0"/>
    <xf numFmtId="49" fontId="13" fillId="0" borderId="0">
      <alignment horizontal="right"/>
    </xf>
    <xf numFmtId="0" fontId="13" fillId="0" borderId="0"/>
    <xf numFmtId="0" fontId="13" fillId="0" borderId="0">
      <alignment horizontal="center"/>
    </xf>
    <xf numFmtId="0" fontId="13" fillId="0" borderId="11">
      <alignment horizontal="right"/>
    </xf>
    <xf numFmtId="169" fontId="13" fillId="0" borderId="14">
      <alignment horizontal="center"/>
    </xf>
    <xf numFmtId="49" fontId="13" fillId="0" borderId="0"/>
    <xf numFmtId="0" fontId="13" fillId="0" borderId="0">
      <alignment horizontal="right"/>
    </xf>
    <xf numFmtId="0" fontId="13" fillId="0" borderId="15">
      <alignment horizontal="center"/>
    </xf>
    <xf numFmtId="0" fontId="13" fillId="0" borderId="7">
      <alignment wrapText="1"/>
    </xf>
    <xf numFmtId="49" fontId="13" fillId="0" borderId="16">
      <alignment horizontal="center"/>
    </xf>
    <xf numFmtId="0" fontId="13" fillId="0" borderId="17">
      <alignment wrapText="1"/>
    </xf>
    <xf numFmtId="49" fontId="13" fillId="0" borderId="14">
      <alignment horizontal="center"/>
    </xf>
    <xf numFmtId="0" fontId="13" fillId="0" borderId="18">
      <alignment horizontal="left"/>
    </xf>
    <xf numFmtId="49" fontId="13" fillId="0" borderId="18"/>
    <xf numFmtId="0" fontId="13" fillId="0" borderId="14">
      <alignment horizontal="center"/>
    </xf>
    <xf numFmtId="49" fontId="13" fillId="0" borderId="19">
      <alignment horizontal="center"/>
    </xf>
    <xf numFmtId="0" fontId="26" fillId="0" borderId="20"/>
    <xf numFmtId="49" fontId="13" fillId="0" borderId="3">
      <alignment horizontal="center" vertical="center" wrapText="1"/>
    </xf>
    <xf numFmtId="49" fontId="13" fillId="0" borderId="21">
      <alignment horizontal="center" vertical="center" wrapText="1"/>
    </xf>
    <xf numFmtId="49" fontId="13" fillId="0" borderId="5">
      <alignment horizontal="center" vertical="center" wrapText="1"/>
    </xf>
    <xf numFmtId="49" fontId="13" fillId="0" borderId="9">
      <alignment horizontal="center" vertical="center" wrapText="1"/>
    </xf>
    <xf numFmtId="0" fontId="13" fillId="0" borderId="22">
      <alignment horizontal="left" wrapText="1"/>
    </xf>
    <xf numFmtId="49" fontId="13" fillId="0" borderId="23">
      <alignment horizontal="center" wrapText="1"/>
    </xf>
    <xf numFmtId="49" fontId="13" fillId="0" borderId="24">
      <alignment horizontal="center"/>
    </xf>
    <xf numFmtId="4" fontId="13" fillId="0" borderId="2">
      <alignment horizontal="right"/>
    </xf>
    <xf numFmtId="0" fontId="13" fillId="0" borderId="25">
      <alignment horizontal="left" wrapText="1"/>
    </xf>
    <xf numFmtId="4" fontId="13" fillId="0" borderId="26">
      <alignment horizontal="right"/>
    </xf>
    <xf numFmtId="0" fontId="13" fillId="0" borderId="27">
      <alignment horizontal="left" wrapText="1" indent="1"/>
    </xf>
    <xf numFmtId="49" fontId="13" fillId="0" borderId="28">
      <alignment horizontal="center" wrapText="1"/>
    </xf>
    <xf numFmtId="49" fontId="13" fillId="0" borderId="29">
      <alignment horizontal="center"/>
    </xf>
    <xf numFmtId="0" fontId="13" fillId="0" borderId="30">
      <alignment horizontal="left" wrapText="1" indent="1"/>
    </xf>
    <xf numFmtId="49" fontId="13" fillId="0" borderId="31">
      <alignment horizontal="center"/>
    </xf>
    <xf numFmtId="49" fontId="13" fillId="0" borderId="10">
      <alignment horizontal="center"/>
    </xf>
    <xf numFmtId="49" fontId="13" fillId="0" borderId="0">
      <alignment horizontal="center"/>
    </xf>
    <xf numFmtId="49" fontId="13" fillId="0" borderId="32">
      <alignment horizontal="center"/>
    </xf>
    <xf numFmtId="0" fontId="13" fillId="0" borderId="33">
      <alignment horizontal="left" wrapText="1" indent="2"/>
    </xf>
    <xf numFmtId="0" fontId="13" fillId="0" borderId="20"/>
    <xf numFmtId="0" fontId="13" fillId="5" borderId="20"/>
    <xf numFmtId="0" fontId="13" fillId="5" borderId="0"/>
    <xf numFmtId="0" fontId="13" fillId="0" borderId="0">
      <alignment horizontal="left" wrapText="1"/>
    </xf>
    <xf numFmtId="49" fontId="13" fillId="0" borderId="0">
      <alignment horizontal="center" wrapText="1"/>
    </xf>
    <xf numFmtId="0" fontId="13" fillId="0" borderId="7">
      <alignment horizontal="left"/>
    </xf>
    <xf numFmtId="49" fontId="13" fillId="0" borderId="7"/>
    <xf numFmtId="0" fontId="13" fillId="0" borderId="7"/>
    <xf numFmtId="0" fontId="13" fillId="0" borderId="34">
      <alignment horizontal="left" wrapText="1"/>
    </xf>
    <xf numFmtId="49" fontId="13" fillId="0" borderId="24">
      <alignment horizontal="center" wrapText="1"/>
    </xf>
    <xf numFmtId="4" fontId="13" fillId="0" borderId="5">
      <alignment horizontal="right"/>
    </xf>
    <xf numFmtId="4" fontId="13" fillId="0" borderId="35">
      <alignment horizontal="right"/>
    </xf>
    <xf numFmtId="0" fontId="13" fillId="0" borderId="36">
      <alignment horizontal="left" wrapText="1"/>
    </xf>
    <xf numFmtId="49" fontId="13" fillId="0" borderId="32">
      <alignment horizontal="center" wrapText="1"/>
    </xf>
    <xf numFmtId="49" fontId="13" fillId="0" borderId="2">
      <alignment horizontal="center"/>
    </xf>
    <xf numFmtId="0" fontId="13" fillId="0" borderId="17"/>
    <xf numFmtId="0" fontId="13" fillId="0" borderId="37"/>
    <xf numFmtId="0" fontId="22" fillId="0" borderId="33">
      <alignment horizontal="left" wrapText="1"/>
    </xf>
    <xf numFmtId="0" fontId="13" fillId="0" borderId="38">
      <alignment horizontal="center" wrapText="1"/>
    </xf>
    <xf numFmtId="49" fontId="13" fillId="0" borderId="39">
      <alignment horizontal="center" wrapText="1"/>
    </xf>
    <xf numFmtId="4" fontId="13" fillId="0" borderId="24">
      <alignment horizontal="right"/>
    </xf>
    <xf numFmtId="4" fontId="13" fillId="0" borderId="40">
      <alignment horizontal="right"/>
    </xf>
    <xf numFmtId="0" fontId="22" fillId="0" borderId="14">
      <alignment horizontal="left" wrapText="1"/>
    </xf>
    <xf numFmtId="0" fontId="25" fillId="0" borderId="20"/>
    <xf numFmtId="0" fontId="13" fillId="0" borderId="0">
      <alignment horizontal="center" wrapText="1"/>
    </xf>
    <xf numFmtId="0" fontId="22" fillId="0" borderId="0">
      <alignment horizontal="center"/>
    </xf>
    <xf numFmtId="0" fontId="22" fillId="0" borderId="7"/>
    <xf numFmtId="49" fontId="13" fillId="0" borderId="7">
      <alignment horizontal="left"/>
    </xf>
    <xf numFmtId="49" fontId="13" fillId="0" borderId="5">
      <alignment horizontal="center"/>
    </xf>
    <xf numFmtId="0" fontId="13" fillId="0" borderId="27">
      <alignment horizontal="left" wrapText="1"/>
    </xf>
    <xf numFmtId="49" fontId="13" fillId="0" borderId="41">
      <alignment horizontal="center"/>
    </xf>
    <xf numFmtId="0" fontId="13" fillId="0" borderId="30">
      <alignment horizontal="left" wrapText="1"/>
    </xf>
    <xf numFmtId="0" fontId="25" fillId="0" borderId="29"/>
    <xf numFmtId="0" fontId="25" fillId="0" borderId="41"/>
    <xf numFmtId="0" fontId="13" fillId="0" borderId="34">
      <alignment horizontal="left" wrapText="1" indent="1"/>
    </xf>
    <xf numFmtId="49" fontId="13" fillId="0" borderId="42">
      <alignment horizontal="center" wrapText="1"/>
    </xf>
    <xf numFmtId="0" fontId="13" fillId="0" borderId="36">
      <alignment horizontal="left" wrapText="1" indent="1"/>
    </xf>
    <xf numFmtId="0" fontId="13" fillId="0" borderId="27">
      <alignment horizontal="left" wrapText="1" indent="2"/>
    </xf>
    <xf numFmtId="0" fontId="13" fillId="0" borderId="30">
      <alignment horizontal="left" wrapText="1" indent="2"/>
    </xf>
    <xf numFmtId="49" fontId="13" fillId="0" borderId="42">
      <alignment horizontal="center"/>
    </xf>
    <xf numFmtId="0" fontId="25" fillId="0" borderId="18"/>
    <xf numFmtId="0" fontId="25" fillId="0" borderId="7"/>
    <xf numFmtId="0" fontId="22" fillId="0" borderId="21">
      <alignment horizontal="center" vertical="center" textRotation="90" wrapText="1"/>
    </xf>
    <xf numFmtId="0" fontId="13" fillId="0" borderId="3">
      <alignment horizontal="center" vertical="top" wrapText="1"/>
    </xf>
    <xf numFmtId="0" fontId="13" fillId="0" borderId="29">
      <alignment horizontal="center" vertical="top"/>
    </xf>
    <xf numFmtId="0" fontId="13" fillId="0" borderId="3">
      <alignment horizontal="center" vertical="top"/>
    </xf>
    <xf numFmtId="49" fontId="13" fillId="0" borderId="3">
      <alignment horizontal="center" vertical="top" wrapText="1"/>
    </xf>
    <xf numFmtId="0" fontId="22" fillId="0" borderId="43"/>
    <xf numFmtId="49" fontId="22" fillId="0" borderId="23">
      <alignment horizontal="center"/>
    </xf>
    <xf numFmtId="0" fontId="26" fillId="0" borderId="13"/>
    <xf numFmtId="49" fontId="30" fillId="0" borderId="44">
      <alignment horizontal="left" vertical="center" wrapText="1"/>
    </xf>
    <xf numFmtId="49" fontId="22" fillId="0" borderId="32">
      <alignment horizontal="center" vertical="center" wrapText="1"/>
    </xf>
    <xf numFmtId="49" fontId="13" fillId="0" borderId="45">
      <alignment horizontal="left" vertical="center" wrapText="1" indent="2"/>
    </xf>
    <xf numFmtId="49" fontId="13" fillId="0" borderId="28">
      <alignment horizontal="center" vertical="center" wrapText="1"/>
    </xf>
    <xf numFmtId="0" fontId="13" fillId="0" borderId="29"/>
    <xf numFmtId="4" fontId="13" fillId="0" borderId="29">
      <alignment horizontal="right"/>
    </xf>
    <xf numFmtId="4" fontId="13" fillId="0" borderId="41">
      <alignment horizontal="right"/>
    </xf>
    <xf numFmtId="49" fontId="13" fillId="0" borderId="4">
      <alignment horizontal="left" vertical="center" wrapText="1" indent="3"/>
    </xf>
    <xf numFmtId="49" fontId="13" fillId="0" borderId="42">
      <alignment horizontal="center" vertical="center" wrapText="1"/>
    </xf>
    <xf numFmtId="49" fontId="13" fillId="0" borderId="44">
      <alignment horizontal="left" vertical="center" wrapText="1" indent="3"/>
    </xf>
    <xf numFmtId="49" fontId="13" fillId="0" borderId="32">
      <alignment horizontal="center" vertical="center" wrapText="1"/>
    </xf>
    <xf numFmtId="49" fontId="13" fillId="0" borderId="46">
      <alignment horizontal="left" vertical="center" wrapText="1" indent="3"/>
    </xf>
    <xf numFmtId="0" fontId="30" fillId="0" borderId="43">
      <alignment horizontal="left" vertical="center" wrapText="1"/>
    </xf>
    <xf numFmtId="49" fontId="13" fillId="0" borderId="47">
      <alignment horizontal="center" vertical="center" wrapText="1"/>
    </xf>
    <xf numFmtId="4" fontId="13" fillId="0" borderId="9">
      <alignment horizontal="right"/>
    </xf>
    <xf numFmtId="4" fontId="13" fillId="0" borderId="48">
      <alignment horizontal="right"/>
    </xf>
    <xf numFmtId="0" fontId="22" fillId="0" borderId="18">
      <alignment horizontal="center" vertical="center" textRotation="90" wrapText="1"/>
    </xf>
    <xf numFmtId="49" fontId="13" fillId="0" borderId="18">
      <alignment horizontal="left" vertical="center" wrapText="1" indent="3"/>
    </xf>
    <xf numFmtId="49" fontId="13" fillId="0" borderId="20">
      <alignment horizontal="center" vertical="center" wrapText="1"/>
    </xf>
    <xf numFmtId="4" fontId="13" fillId="0" borderId="20">
      <alignment horizontal="right"/>
    </xf>
    <xf numFmtId="0" fontId="13" fillId="0" borderId="0">
      <alignment vertical="center"/>
    </xf>
    <xf numFmtId="49" fontId="13" fillId="0" borderId="0">
      <alignment horizontal="left" vertical="center" wrapText="1" indent="3"/>
    </xf>
    <xf numFmtId="49" fontId="13" fillId="0" borderId="0">
      <alignment horizontal="center" vertical="center" wrapText="1"/>
    </xf>
    <xf numFmtId="4" fontId="13" fillId="0" borderId="0">
      <alignment horizontal="right" shrinkToFit="1"/>
    </xf>
    <xf numFmtId="0" fontId="22" fillId="0" borderId="7">
      <alignment horizontal="center" vertical="center" textRotation="90" wrapText="1"/>
    </xf>
    <xf numFmtId="49" fontId="13" fillId="0" borderId="7">
      <alignment horizontal="left" vertical="center" wrapText="1" indent="3"/>
    </xf>
    <xf numFmtId="49" fontId="13" fillId="0" borderId="7">
      <alignment horizontal="center" vertical="center" wrapText="1"/>
    </xf>
    <xf numFmtId="4" fontId="13" fillId="0" borderId="7">
      <alignment horizontal="right"/>
    </xf>
    <xf numFmtId="49" fontId="13" fillId="0" borderId="29">
      <alignment horizontal="center" vertical="center" wrapText="1"/>
    </xf>
    <xf numFmtId="0" fontId="30" fillId="0" borderId="49">
      <alignment horizontal="left" vertical="center" wrapText="1"/>
    </xf>
    <xf numFmtId="49" fontId="22" fillId="0" borderId="23">
      <alignment horizontal="center" vertical="center" wrapText="1"/>
    </xf>
    <xf numFmtId="4" fontId="13" fillId="0" borderId="50">
      <alignment horizontal="right"/>
    </xf>
    <xf numFmtId="49" fontId="13" fillId="0" borderId="51">
      <alignment horizontal="left" vertical="center" wrapText="1" indent="2"/>
    </xf>
    <xf numFmtId="0" fontId="13" fillId="0" borderId="31"/>
    <xf numFmtId="0" fontId="13" fillId="0" borderId="2"/>
    <xf numFmtId="49" fontId="13" fillId="0" borderId="52">
      <alignment horizontal="left" vertical="center" wrapText="1" indent="3"/>
    </xf>
    <xf numFmtId="4" fontId="13" fillId="0" borderId="53">
      <alignment horizontal="right"/>
    </xf>
    <xf numFmtId="49" fontId="13" fillId="0" borderId="54">
      <alignment horizontal="left" vertical="center" wrapText="1" indent="3"/>
    </xf>
    <xf numFmtId="49" fontId="13" fillId="0" borderId="55">
      <alignment horizontal="left" vertical="center" wrapText="1" indent="3"/>
    </xf>
    <xf numFmtId="49" fontId="13" fillId="0" borderId="56">
      <alignment horizontal="center" vertical="center" wrapText="1"/>
    </xf>
    <xf numFmtId="4" fontId="13" fillId="0" borderId="57">
      <alignment horizontal="right"/>
    </xf>
    <xf numFmtId="0" fontId="22" fillId="0" borderId="18">
      <alignment horizontal="center" vertical="center" textRotation="90"/>
    </xf>
    <xf numFmtId="4" fontId="13" fillId="0" borderId="0">
      <alignment horizontal="right"/>
    </xf>
    <xf numFmtId="0" fontId="22" fillId="0" borderId="7">
      <alignment horizontal="center" vertical="center" textRotation="90"/>
    </xf>
    <xf numFmtId="0" fontId="22" fillId="0" borderId="21">
      <alignment horizontal="center" vertical="center" textRotation="90"/>
    </xf>
    <xf numFmtId="0" fontId="13" fillId="0" borderId="41"/>
    <xf numFmtId="49" fontId="13" fillId="0" borderId="58">
      <alignment horizontal="center" vertical="center" wrapText="1"/>
    </xf>
    <xf numFmtId="0" fontId="13" fillId="0" borderId="59"/>
    <xf numFmtId="0" fontId="13" fillId="0" borderId="60"/>
    <xf numFmtId="0" fontId="22" fillId="0" borderId="3">
      <alignment horizontal="center" vertical="center" textRotation="90"/>
    </xf>
    <xf numFmtId="49" fontId="30" fillId="0" borderId="49">
      <alignment horizontal="left" vertical="center" wrapText="1"/>
    </xf>
    <xf numFmtId="0" fontId="22" fillId="0" borderId="42">
      <alignment horizontal="center" vertical="center"/>
    </xf>
    <xf numFmtId="0" fontId="13" fillId="0" borderId="28">
      <alignment horizontal="center" vertical="center"/>
    </xf>
    <xf numFmtId="0" fontId="13" fillId="0" borderId="42">
      <alignment horizontal="center" vertical="center"/>
    </xf>
    <xf numFmtId="0" fontId="13" fillId="0" borderId="32">
      <alignment horizontal="center" vertical="center"/>
    </xf>
    <xf numFmtId="0" fontId="13" fillId="0" borderId="47">
      <alignment horizontal="center" vertical="center"/>
    </xf>
    <xf numFmtId="0" fontId="22" fillId="0" borderId="23">
      <alignment horizontal="center" vertical="center"/>
    </xf>
    <xf numFmtId="49" fontId="22" fillId="0" borderId="32">
      <alignment horizontal="center" vertical="center"/>
    </xf>
    <xf numFmtId="49" fontId="13" fillId="0" borderId="58">
      <alignment horizontal="center" vertical="center"/>
    </xf>
    <xf numFmtId="49" fontId="13" fillId="0" borderId="42">
      <alignment horizontal="center" vertical="center"/>
    </xf>
    <xf numFmtId="49" fontId="13" fillId="0" borderId="32">
      <alignment horizontal="center" vertical="center"/>
    </xf>
    <xf numFmtId="49" fontId="13" fillId="0" borderId="47">
      <alignment horizontal="center" vertical="center"/>
    </xf>
    <xf numFmtId="49" fontId="13" fillId="0" borderId="7">
      <alignment horizontal="center" wrapText="1"/>
    </xf>
    <xf numFmtId="0" fontId="13" fillId="0" borderId="7">
      <alignment horizontal="center"/>
    </xf>
    <xf numFmtId="49" fontId="13" fillId="0" borderId="0">
      <alignment horizontal="left"/>
    </xf>
    <xf numFmtId="0" fontId="13" fillId="0" borderId="18">
      <alignment horizontal="center"/>
    </xf>
    <xf numFmtId="49" fontId="13" fillId="0" borderId="18">
      <alignment horizontal="center"/>
    </xf>
    <xf numFmtId="0" fontId="31" fillId="0" borderId="7">
      <alignment wrapText="1"/>
    </xf>
    <xf numFmtId="0" fontId="32" fillId="0" borderId="7"/>
    <xf numFmtId="0" fontId="31" fillId="0" borderId="3">
      <alignment wrapText="1"/>
    </xf>
    <xf numFmtId="0" fontId="31" fillId="0" borderId="18">
      <alignment wrapText="1"/>
    </xf>
    <xf numFmtId="0" fontId="32" fillId="0" borderId="18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5" fillId="6" borderId="0"/>
    <xf numFmtId="0" fontId="26" fillId="0" borderId="0"/>
  </cellStyleXfs>
  <cellXfs count="203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vertical="center" wrapText="1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18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vertical="center" wrapText="1"/>
    </xf>
    <xf numFmtId="0" fontId="3" fillId="2" borderId="1" xfId="15" applyNumberFormat="1" applyFont="1" applyFill="1" applyBorder="1" applyAlignment="1" applyProtection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3" applyNumberFormat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4" fontId="3" fillId="3" borderId="1" xfId="1" applyNumberFormat="1" applyFont="1" applyFill="1" applyBorder="1" applyAlignment="1">
      <alignment horizontal="center" vertical="center" wrapText="1"/>
    </xf>
    <xf numFmtId="0" fontId="3" fillId="3" borderId="6" xfId="19" applyNumberFormat="1" applyFont="1" applyFill="1" applyBorder="1" applyAlignment="1" applyProtection="1">
      <alignment wrapText="1"/>
      <protection hidden="1"/>
    </xf>
    <xf numFmtId="49" fontId="3" fillId="3" borderId="1" xfId="3" applyNumberFormat="1" applyFont="1" applyFill="1" applyBorder="1" applyAlignment="1" applyProtection="1">
      <alignment horizontal="center" vertical="center"/>
      <protection locked="0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4" applyNumberFormat="1" applyFont="1" applyFill="1" applyBorder="1" applyAlignment="1" applyProtection="1">
      <alignment horizontal="left" vertical="center" wrapText="1"/>
      <protection hidden="1"/>
    </xf>
    <xf numFmtId="0" fontId="3" fillId="3" borderId="1" xfId="4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vertical="center" wrapText="1"/>
    </xf>
    <xf numFmtId="0" fontId="3" fillId="3" borderId="1" xfId="3" applyNumberFormat="1" applyFont="1" applyFill="1" applyBorder="1" applyAlignment="1">
      <alignment vertical="center" wrapText="1"/>
    </xf>
    <xf numFmtId="49" fontId="3" fillId="3" borderId="1" xfId="3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1" xfId="18" applyNumberFormat="1" applyFont="1" applyFill="1" applyBorder="1" applyAlignment="1" applyProtection="1">
      <alignment vertical="center" wrapText="1"/>
      <protection hidden="1"/>
    </xf>
    <xf numFmtId="49" fontId="3" fillId="3" borderId="1" xfId="7" applyNumberFormat="1" applyFont="1" applyFill="1" applyBorder="1" applyAlignment="1" applyProtection="1">
      <alignment horizontal="center" vertical="center"/>
    </xf>
    <xf numFmtId="0" fontId="3" fillId="3" borderId="1" xfId="6" applyNumberFormat="1" applyFont="1" applyFill="1" applyBorder="1" applyAlignment="1" applyProtection="1">
      <alignment horizontal="left" vertical="center" wrapText="1"/>
    </xf>
    <xf numFmtId="0" fontId="3" fillId="3" borderId="1" xfId="18" applyNumberFormat="1" applyFont="1" applyFill="1" applyBorder="1" applyAlignment="1" applyProtection="1">
      <alignment horizontal="center" vertical="center"/>
      <protection hidden="1"/>
    </xf>
    <xf numFmtId="4" fontId="3" fillId="4" borderId="1" xfId="1" applyNumberFormat="1" applyFont="1" applyFill="1" applyBorder="1" applyAlignment="1">
      <alignment horizontal="center" vertical="center" wrapText="1"/>
    </xf>
    <xf numFmtId="49" fontId="3" fillId="3" borderId="1" xfId="5" applyNumberFormat="1" applyFont="1" applyFill="1" applyBorder="1" applyAlignment="1" applyProtection="1">
      <alignment horizontal="center" vertical="center"/>
      <protection hidden="1"/>
    </xf>
    <xf numFmtId="168" fontId="3" fillId="4" borderId="6" xfId="19" applyNumberFormat="1" applyFont="1" applyFill="1" applyBorder="1" applyAlignment="1" applyProtection="1">
      <alignment horizontal="center" vertical="center"/>
      <protection hidden="1"/>
    </xf>
    <xf numFmtId="168" fontId="3" fillId="4" borderId="1" xfId="4" applyNumberFormat="1" applyFont="1" applyFill="1" applyBorder="1" applyAlignment="1" applyProtection="1">
      <alignment horizontal="center" vertical="center"/>
      <protection hidden="1"/>
    </xf>
    <xf numFmtId="0" fontId="19" fillId="4" borderId="1" xfId="6" applyNumberFormat="1" applyFont="1" applyFill="1" applyBorder="1" applyAlignment="1" applyProtection="1">
      <alignment horizontal="left" vertical="center" wrapText="1"/>
    </xf>
    <xf numFmtId="49" fontId="3" fillId="4" borderId="1" xfId="3" applyNumberFormat="1" applyFont="1" applyFill="1" applyBorder="1" applyAlignment="1">
      <alignment horizontal="center" vertical="center"/>
    </xf>
    <xf numFmtId="49" fontId="19" fillId="4" borderId="1" xfId="7" applyNumberFormat="1" applyFont="1" applyFill="1" applyBorder="1" applyAlignment="1" applyProtection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0" fontId="3" fillId="4" borderId="1" xfId="3" applyNumberFormat="1" applyFont="1" applyFill="1" applyBorder="1" applyAlignment="1">
      <alignment vertical="center" wrapText="1"/>
    </xf>
    <xf numFmtId="0" fontId="3" fillId="4" borderId="1" xfId="3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19" fillId="0" borderId="1" xfId="6" applyNumberFormat="1" applyFont="1" applyBorder="1" applyAlignment="1" applyProtection="1">
      <alignment horizontal="left" vertical="center" wrapText="1"/>
    </xf>
    <xf numFmtId="49" fontId="19" fillId="0" borderId="1" xfId="7" applyNumberFormat="1" applyFont="1" applyBorder="1" applyAlignment="1" applyProtection="1">
      <alignment horizontal="center" vertical="center"/>
    </xf>
    <xf numFmtId="4" fontId="19" fillId="3" borderId="1" xfId="17" applyNumberFormat="1" applyFont="1" applyFill="1" applyBorder="1" applyAlignment="1" applyProtection="1">
      <alignment horizontal="center" vertical="center"/>
    </xf>
    <xf numFmtId="4" fontId="14" fillId="4" borderId="1" xfId="1" applyNumberFormat="1" applyFont="1" applyFill="1" applyBorder="1" applyAlignment="1">
      <alignment horizontal="center" vertical="center" wrapText="1"/>
    </xf>
    <xf numFmtId="4" fontId="3" fillId="4" borderId="1" xfId="2" applyNumberFormat="1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9" fillId="2" borderId="1" xfId="73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8" fontId="3" fillId="4" borderId="1" xfId="18" applyNumberFormat="1" applyFont="1" applyFill="1" applyBorder="1" applyAlignment="1" applyProtection="1">
      <alignment horizontal="center" vertical="center"/>
      <protection hidden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" fontId="3" fillId="2" borderId="1" xfId="17" applyNumberFormat="1" applyFont="1" applyFill="1" applyBorder="1" applyAlignment="1" applyProtection="1">
      <alignment horizontal="center" vertical="center"/>
    </xf>
    <xf numFmtId="4" fontId="3" fillId="4" borderId="1" xfId="17" applyNumberFormat="1" applyFont="1" applyFill="1" applyBorder="1" applyAlignment="1" applyProtection="1">
      <alignment horizontal="center" vertical="center"/>
    </xf>
    <xf numFmtId="4" fontId="3" fillId="4" borderId="1" xfId="8" applyNumberFormat="1" applyFont="1" applyFill="1" applyBorder="1" applyAlignment="1">
      <alignment horizontal="center" vertical="center" wrapText="1"/>
    </xf>
    <xf numFmtId="4" fontId="3" fillId="4" borderId="1" xfId="1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1" xfId="18" applyNumberFormat="1" applyFont="1" applyFill="1" applyBorder="1" applyAlignment="1" applyProtection="1">
      <alignment horizontal="left" vertical="center" wrapText="1"/>
      <protection hidden="1"/>
    </xf>
    <xf numFmtId="4" fontId="3" fillId="2" borderId="0" xfId="0" applyNumberFormat="1" applyFont="1" applyFill="1" applyAlignment="1">
      <alignment horizontal="center"/>
    </xf>
    <xf numFmtId="168" fontId="3" fillId="0" borderId="1" xfId="18" applyNumberFormat="1" applyFont="1" applyFill="1" applyBorder="1" applyAlignment="1" applyProtection="1">
      <alignment horizontal="center" vertical="center"/>
      <protection hidden="1"/>
    </xf>
    <xf numFmtId="4" fontId="6" fillId="2" borderId="0" xfId="0" applyNumberFormat="1" applyFont="1" applyFill="1" applyAlignment="1">
      <alignment horizontal="center"/>
    </xf>
    <xf numFmtId="0" fontId="3" fillId="2" borderId="0" xfId="14" applyFont="1" applyFill="1" applyAlignment="1" applyProtection="1">
      <alignment horizontal="center"/>
      <protection hidden="1"/>
    </xf>
    <xf numFmtId="4" fontId="14" fillId="7" borderId="1" xfId="0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center" vertical="center"/>
      <protection hidden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4" fontId="3" fillId="2" borderId="1" xfId="2" applyNumberFormat="1" applyFont="1" applyFill="1" applyBorder="1" applyAlignment="1">
      <alignment horizontal="center" vertical="center" wrapText="1"/>
    </xf>
    <xf numFmtId="168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4" fontId="19" fillId="2" borderId="1" xfId="17" applyNumberFormat="1" applyFont="1" applyFill="1" applyBorder="1" applyAlignment="1" applyProtection="1">
      <alignment horizontal="center" vertical="center"/>
    </xf>
    <xf numFmtId="0" fontId="7" fillId="2" borderId="0" xfId="10" applyFont="1" applyFill="1" applyAlignment="1">
      <alignment horizontal="left"/>
    </xf>
    <xf numFmtId="168" fontId="3" fillId="2" borderId="1" xfId="19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1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</cellXfs>
  <cellStyles count="203">
    <cellStyle name="br" xfId="198"/>
    <cellStyle name="col" xfId="197"/>
    <cellStyle name="style0" xfId="199"/>
    <cellStyle name="td" xfId="200"/>
    <cellStyle name="tr" xfId="196"/>
    <cellStyle name="xl100" xfId="81"/>
    <cellStyle name="xl101" xfId="86"/>
    <cellStyle name="xl102" xfId="96"/>
    <cellStyle name="xl103" xfId="100"/>
    <cellStyle name="xl104" xfId="108"/>
    <cellStyle name="xl105" xfId="103"/>
    <cellStyle name="xl106" xfId="111"/>
    <cellStyle name="xl107" xfId="114"/>
    <cellStyle name="xl108" xfId="98"/>
    <cellStyle name="xl109" xfId="101"/>
    <cellStyle name="xl110" xfId="109"/>
    <cellStyle name="xl111" xfId="113"/>
    <cellStyle name="xl112" xfId="99"/>
    <cellStyle name="xl113" xfId="102"/>
    <cellStyle name="xl114" xfId="104"/>
    <cellStyle name="xl115" xfId="110"/>
    <cellStyle name="xl116" xfId="105"/>
    <cellStyle name="xl117" xfId="112"/>
    <cellStyle name="xl118" xfId="106"/>
    <cellStyle name="xl119" xfId="107"/>
    <cellStyle name="xl120" xfId="116"/>
    <cellStyle name="xl121" xfId="140"/>
    <cellStyle name="xl122" xfId="144"/>
    <cellStyle name="xl123" xfId="12"/>
    <cellStyle name="xl123 2" xfId="148"/>
    <cellStyle name="xl124" xfId="165"/>
    <cellStyle name="xl125" xfId="167"/>
    <cellStyle name="xl126" xfId="168"/>
    <cellStyle name="xl127" xfId="115"/>
    <cellStyle name="xl128" xfId="13"/>
    <cellStyle name="xl128 2" xfId="173"/>
    <cellStyle name="xl129" xfId="191"/>
    <cellStyle name="xl130" xfId="194"/>
    <cellStyle name="xl131" xfId="117"/>
    <cellStyle name="xl132" xfId="121"/>
    <cellStyle name="xl133" xfId="124"/>
    <cellStyle name="xl134" xfId="126"/>
    <cellStyle name="xl135" xfId="131"/>
    <cellStyle name="xl136" xfId="133"/>
    <cellStyle name="xl137" xfId="135"/>
    <cellStyle name="xl138" xfId="136"/>
    <cellStyle name="xl139" xfId="141"/>
    <cellStyle name="xl140" xfId="145"/>
    <cellStyle name="xl141" xfId="149"/>
    <cellStyle name="xl142" xfId="153"/>
    <cellStyle name="xl143" xfId="156"/>
    <cellStyle name="xl144" xfId="159"/>
    <cellStyle name="xl145" xfId="161"/>
    <cellStyle name="xl146" xfId="162"/>
    <cellStyle name="xl147" xfId="174"/>
    <cellStyle name="xl148" xfId="122"/>
    <cellStyle name="xl149" xfId="125"/>
    <cellStyle name="xl150" xfId="127"/>
    <cellStyle name="xl151" xfId="132"/>
    <cellStyle name="xl152" xfId="134"/>
    <cellStyle name="xl153" xfId="137"/>
    <cellStyle name="xl154" xfId="142"/>
    <cellStyle name="xl155" xfId="146"/>
    <cellStyle name="xl156" xfId="150"/>
    <cellStyle name="xl157" xfId="152"/>
    <cellStyle name="xl158" xfId="154"/>
    <cellStyle name="xl159" xfId="163"/>
    <cellStyle name="xl160" xfId="170"/>
    <cellStyle name="xl161" xfId="175"/>
    <cellStyle name="xl162" xfId="176"/>
    <cellStyle name="xl163" xfId="177"/>
    <cellStyle name="xl164" xfId="178"/>
    <cellStyle name="xl165" xfId="179"/>
    <cellStyle name="xl166" xfId="180"/>
    <cellStyle name="xl167" xfId="181"/>
    <cellStyle name="xl168" xfId="182"/>
    <cellStyle name="xl169" xfId="183"/>
    <cellStyle name="xl170" xfId="184"/>
    <cellStyle name="xl171" xfId="185"/>
    <cellStyle name="xl172" xfId="120"/>
    <cellStyle name="xl173" xfId="128"/>
    <cellStyle name="xl174" xfId="138"/>
    <cellStyle name="xl175" xfId="143"/>
    <cellStyle name="xl176" xfId="147"/>
    <cellStyle name="xl177" xfId="151"/>
    <cellStyle name="xl178" xfId="166"/>
    <cellStyle name="xl179" xfId="129"/>
    <cellStyle name="xl180" xfId="171"/>
    <cellStyle name="xl181" xfId="186"/>
    <cellStyle name="xl182" xfId="189"/>
    <cellStyle name="xl183" xfId="192"/>
    <cellStyle name="xl184" xfId="195"/>
    <cellStyle name="xl185" xfId="187"/>
    <cellStyle name="xl186" xfId="190"/>
    <cellStyle name="xl187" xfId="188"/>
    <cellStyle name="xl188" xfId="118"/>
    <cellStyle name="xl189" xfId="155"/>
    <cellStyle name="xl190" xfId="157"/>
    <cellStyle name="xl191" xfId="160"/>
    <cellStyle name="xl192" xfId="164"/>
    <cellStyle name="xl193" xfId="169"/>
    <cellStyle name="xl194" xfId="130"/>
    <cellStyle name="xl195" xfId="172"/>
    <cellStyle name="xl196" xfId="139"/>
    <cellStyle name="xl197" xfId="193"/>
    <cellStyle name="xl198" xfId="119"/>
    <cellStyle name="xl199" xfId="158"/>
    <cellStyle name="xl200" xfId="123"/>
    <cellStyle name="xl21" xfId="201"/>
    <cellStyle name="xl22" xfId="21"/>
    <cellStyle name="xl23" xfId="28"/>
    <cellStyle name="xl24" xfId="32"/>
    <cellStyle name="xl25" xfId="39"/>
    <cellStyle name="xl26" xfId="27"/>
    <cellStyle name="xl27" xfId="25"/>
    <cellStyle name="xl28" xfId="55"/>
    <cellStyle name="xl29" xfId="59"/>
    <cellStyle name="xl30" xfId="65"/>
    <cellStyle name="xl31" xfId="6"/>
    <cellStyle name="xl32" xfId="202"/>
    <cellStyle name="xl33" xfId="33"/>
    <cellStyle name="xl34" xfId="15"/>
    <cellStyle name="xl34 2" xfId="50"/>
    <cellStyle name="xl35" xfId="60"/>
    <cellStyle name="xl36" xfId="66"/>
    <cellStyle name="xl37" xfId="72"/>
    <cellStyle name="xl38" xfId="74"/>
    <cellStyle name="xl39" xfId="51"/>
    <cellStyle name="xl40" xfId="43"/>
    <cellStyle name="xl41" xfId="61"/>
    <cellStyle name="xl42" xfId="67"/>
    <cellStyle name="xl43" xfId="7"/>
    <cellStyle name="xl44" xfId="57"/>
    <cellStyle name="xl45" xfId="58"/>
    <cellStyle name="xl46" xfId="17"/>
    <cellStyle name="xl47" xfId="76"/>
    <cellStyle name="xl48" xfId="22"/>
    <cellStyle name="xl49" xfId="40"/>
    <cellStyle name="xl50" xfId="46"/>
    <cellStyle name="xl51" xfId="48"/>
    <cellStyle name="xl52" xfId="16"/>
    <cellStyle name="xl52 2" xfId="29"/>
    <cellStyle name="xl53" xfId="34"/>
    <cellStyle name="xl54" xfId="41"/>
    <cellStyle name="xl55" xfId="23"/>
    <cellStyle name="xl56" xfId="54"/>
    <cellStyle name="xl57" xfId="30"/>
    <cellStyle name="xl58" xfId="35"/>
    <cellStyle name="xl59" xfId="42"/>
    <cellStyle name="xl60" xfId="45"/>
    <cellStyle name="xl61" xfId="47"/>
    <cellStyle name="xl62" xfId="49"/>
    <cellStyle name="xl63" xfId="52"/>
    <cellStyle name="xl64" xfId="53"/>
    <cellStyle name="xl65" xfId="24"/>
    <cellStyle name="xl66" xfId="31"/>
    <cellStyle name="xl67" xfId="36"/>
    <cellStyle name="xl68" xfId="62"/>
    <cellStyle name="xl69" xfId="26"/>
    <cellStyle name="xl70" xfId="37"/>
    <cellStyle name="xl71" xfId="44"/>
    <cellStyle name="xl72" xfId="56"/>
    <cellStyle name="xl73" xfId="63"/>
    <cellStyle name="xl74" xfId="68"/>
    <cellStyle name="xl75" xfId="73"/>
    <cellStyle name="xl76" xfId="75"/>
    <cellStyle name="xl77" xfId="38"/>
    <cellStyle name="xl78" xfId="64"/>
    <cellStyle name="xl79" xfId="69"/>
    <cellStyle name="xl80" xfId="70"/>
    <cellStyle name="xl81" xfId="71"/>
    <cellStyle name="xl82" xfId="77"/>
    <cellStyle name="xl83" xfId="79"/>
    <cellStyle name="xl84" xfId="82"/>
    <cellStyle name="xl85" xfId="89"/>
    <cellStyle name="xl86" xfId="91"/>
    <cellStyle name="xl87" xfId="78"/>
    <cellStyle name="xl88" xfId="87"/>
    <cellStyle name="xl89" xfId="90"/>
    <cellStyle name="xl90" xfId="92"/>
    <cellStyle name="xl91" xfId="97"/>
    <cellStyle name="xl92" xfId="83"/>
    <cellStyle name="xl93" xfId="93"/>
    <cellStyle name="xl94" xfId="80"/>
    <cellStyle name="xl95" xfId="84"/>
    <cellStyle name="xl96" xfId="94"/>
    <cellStyle name="xl97" xfId="85"/>
    <cellStyle name="xl98" xfId="88"/>
    <cellStyle name="xl99" xfId="95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5" xfId="20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14"/>
  <sheetViews>
    <sheetView tabSelected="1" view="pageBreakPreview" zoomScaleSheetLayoutView="100" workbookViewId="0">
      <pane xSplit="3" ySplit="5" topLeftCell="D306" activePane="bottomRight" state="frozen"/>
      <selection pane="topRight" activeCell="D1" sqref="D1"/>
      <selection pane="bottomLeft" activeCell="A6" sqref="A6"/>
      <selection pane="bottomRight" activeCell="A314" sqref="A314:B314"/>
    </sheetView>
  </sheetViews>
  <sheetFormatPr defaultColWidth="8.85546875" defaultRowHeight="15" x14ac:dyDescent="0.25"/>
  <cols>
    <col min="1" max="1" width="53.85546875" style="181" customWidth="1"/>
    <col min="2" max="2" width="8" style="51" customWidth="1"/>
    <col min="3" max="3" width="20.85546875" style="50" customWidth="1"/>
    <col min="4" max="4" width="15.28515625" style="50" customWidth="1"/>
    <col min="5" max="5" width="14.7109375" style="51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customWidth="1"/>
    <col min="66" max="66" width="8.85546875" style="6" hidden="1" customWidth="1"/>
    <col min="67" max="67" width="35.7109375" style="51" customWidth="1"/>
    <col min="68" max="16384" width="8.85546875" style="51"/>
  </cols>
  <sheetData>
    <row r="1" spans="1:66" s="4" customFormat="1" ht="25.9" customHeight="1" x14ac:dyDescent="0.25">
      <c r="A1" s="164"/>
      <c r="B1" s="1"/>
      <c r="C1" s="2"/>
      <c r="D1" s="186" t="s">
        <v>557</v>
      </c>
      <c r="E1" s="186"/>
      <c r="F1" s="186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36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91"/>
      <c r="BL1" s="191"/>
      <c r="BM1" s="3"/>
      <c r="BN1" s="3"/>
    </row>
    <row r="2" spans="1:66" s="4" customFormat="1" ht="56.45" customHeight="1" x14ac:dyDescent="0.25">
      <c r="A2" s="164"/>
      <c r="B2" s="7"/>
      <c r="C2" s="2"/>
      <c r="D2" s="186"/>
      <c r="E2" s="186"/>
      <c r="F2" s="18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36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91"/>
      <c r="BL2" s="191"/>
      <c r="BM2" s="3"/>
      <c r="BN2" s="3"/>
    </row>
    <row r="3" spans="1:66" s="4" customFormat="1" ht="12.6" customHeight="1" x14ac:dyDescent="0.25">
      <c r="A3" s="164"/>
      <c r="B3" s="7"/>
      <c r="C3" s="2"/>
      <c r="D3" s="186"/>
      <c r="E3" s="186"/>
      <c r="F3" s="18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36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91"/>
      <c r="BL3" s="191"/>
      <c r="BM3" s="3"/>
      <c r="BN3" s="3"/>
    </row>
    <row r="4" spans="1:66" s="10" customFormat="1" ht="19.149999999999999" customHeight="1" x14ac:dyDescent="0.25">
      <c r="A4" s="190" t="s">
        <v>336</v>
      </c>
      <c r="B4" s="190"/>
      <c r="C4" s="190"/>
      <c r="D4" s="190"/>
      <c r="E4" s="190"/>
      <c r="F4" s="19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149999999999999" customHeight="1" x14ac:dyDescent="0.25">
      <c r="A5" s="164"/>
      <c r="B5" s="11"/>
      <c r="C5" s="11"/>
      <c r="D5" s="149"/>
      <c r="F5" s="13" t="s">
        <v>310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36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0.6" customHeight="1" x14ac:dyDescent="0.25">
      <c r="A6" s="187" t="s">
        <v>0</v>
      </c>
      <c r="B6" s="188" t="s">
        <v>1</v>
      </c>
      <c r="C6" s="188"/>
      <c r="D6" s="189" t="s">
        <v>2</v>
      </c>
      <c r="E6" s="189" t="s">
        <v>329</v>
      </c>
      <c r="F6" s="189" t="s">
        <v>337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36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87"/>
      <c r="B7" s="14" t="s">
        <v>3</v>
      </c>
      <c r="C7" s="14" t="s">
        <v>4</v>
      </c>
      <c r="D7" s="189"/>
      <c r="E7" s="189"/>
      <c r="F7" s="189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36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8" customHeight="1" x14ac:dyDescent="0.25">
      <c r="A8" s="129" t="s">
        <v>5</v>
      </c>
      <c r="B8" s="16" t="s">
        <v>6</v>
      </c>
      <c r="C8" s="63" t="s">
        <v>7</v>
      </c>
      <c r="D8" s="55">
        <f>+D9+D18+D28+D40+D48+D54+D87+D96+D113+D124+D186</f>
        <v>1332647416.3900001</v>
      </c>
      <c r="E8" s="55">
        <f>+E9+E18+E28+E40+E48+E54+E87+E96+E113+E124+E186</f>
        <v>1169634832</v>
      </c>
      <c r="F8" s="55">
        <f>+F9+F18+F28+F40+F48+F54+F87+F96+F113+F124+F186</f>
        <v>1211231207.5999999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00"/>
      <c r="U8" s="200"/>
      <c r="V8" s="200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9.899999999999999" customHeight="1" x14ac:dyDescent="0.25">
      <c r="A9" s="129" t="s">
        <v>8</v>
      </c>
      <c r="B9" s="16" t="s">
        <v>6</v>
      </c>
      <c r="C9" s="17" t="s">
        <v>9</v>
      </c>
      <c r="D9" s="55">
        <f>+D10</f>
        <v>709716801</v>
      </c>
      <c r="E9" s="55">
        <f>+E10</f>
        <v>709476886</v>
      </c>
      <c r="F9" s="55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149999999999999" customHeight="1" x14ac:dyDescent="0.2">
      <c r="A10" s="129" t="s">
        <v>10</v>
      </c>
      <c r="B10" s="16" t="s">
        <v>6</v>
      </c>
      <c r="C10" s="17" t="s">
        <v>11</v>
      </c>
      <c r="D10" s="55">
        <f>+D11+D12+D14+D13+D15+D16+D17</f>
        <v>709716801</v>
      </c>
      <c r="E10" s="55">
        <f t="shared" ref="E10:F10" si="0">+E11+E12+E14+E13+E15+E16+E17</f>
        <v>709476886</v>
      </c>
      <c r="F10" s="55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00"/>
      <c r="U10" s="200"/>
      <c r="V10" s="200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67.900000000000006" customHeight="1" x14ac:dyDescent="0.25">
      <c r="A11" s="165" t="s">
        <v>12</v>
      </c>
      <c r="B11" s="64" t="s">
        <v>13</v>
      </c>
      <c r="C11" s="64" t="s">
        <v>14</v>
      </c>
      <c r="D11" s="55">
        <v>610349951</v>
      </c>
      <c r="E11" s="55">
        <v>635258333</v>
      </c>
      <c r="F11" s="55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4.9" customHeight="1" x14ac:dyDescent="0.25">
      <c r="A12" s="165" t="s">
        <v>15</v>
      </c>
      <c r="B12" s="64" t="s">
        <v>13</v>
      </c>
      <c r="C12" s="64" t="s">
        <v>16</v>
      </c>
      <c r="D12" s="55">
        <f>687790+2012210+1400000</f>
        <v>4100000</v>
      </c>
      <c r="E12" s="55">
        <v>719428</v>
      </c>
      <c r="F12" s="55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36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.6" customHeight="1" x14ac:dyDescent="0.25">
      <c r="A13" s="165" t="s">
        <v>17</v>
      </c>
      <c r="B13" s="64" t="s">
        <v>13</v>
      </c>
      <c r="C13" s="64" t="s">
        <v>18</v>
      </c>
      <c r="D13" s="55">
        <v>6500760</v>
      </c>
      <c r="E13" s="55">
        <v>6799795</v>
      </c>
      <c r="F13" s="55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36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4.6" customHeight="1" x14ac:dyDescent="0.25">
      <c r="A14" s="165" t="s">
        <v>19</v>
      </c>
      <c r="B14" s="64" t="s">
        <v>13</v>
      </c>
      <c r="C14" s="64" t="s">
        <v>20</v>
      </c>
      <c r="D14" s="55">
        <v>17744430</v>
      </c>
      <c r="E14" s="55">
        <v>15422674</v>
      </c>
      <c r="F14" s="55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36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3.45" customHeight="1" x14ac:dyDescent="0.25">
      <c r="A15" s="165" t="s">
        <v>313</v>
      </c>
      <c r="B15" s="64" t="s">
        <v>13</v>
      </c>
      <c r="C15" s="64" t="s">
        <v>312</v>
      </c>
      <c r="D15" s="55">
        <v>49021660</v>
      </c>
      <c r="E15" s="55">
        <v>51276656</v>
      </c>
      <c r="F15" s="55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36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2.6" customHeight="1" x14ac:dyDescent="0.25">
      <c r="A16" s="160" t="s">
        <v>395</v>
      </c>
      <c r="B16" s="64" t="s">
        <v>13</v>
      </c>
      <c r="C16" s="77" t="s">
        <v>393</v>
      </c>
      <c r="D16" s="55">
        <f>1000000+2000000+4500000</f>
        <v>7500000</v>
      </c>
      <c r="E16" s="55">
        <v>0</v>
      </c>
      <c r="F16" s="55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36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6.15" customHeight="1" x14ac:dyDescent="0.25">
      <c r="A17" s="160" t="s">
        <v>396</v>
      </c>
      <c r="B17" s="64" t="s">
        <v>13</v>
      </c>
      <c r="C17" s="77" t="s">
        <v>394</v>
      </c>
      <c r="D17" s="55">
        <f>58312.15+2341687.85+12100000</f>
        <v>14500000</v>
      </c>
      <c r="E17" s="55">
        <v>0</v>
      </c>
      <c r="F17" s="55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36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30.6" customHeight="1" x14ac:dyDescent="0.25">
      <c r="A18" s="165" t="s">
        <v>21</v>
      </c>
      <c r="B18" s="64" t="s">
        <v>6</v>
      </c>
      <c r="C18" s="64" t="s">
        <v>22</v>
      </c>
      <c r="D18" s="55">
        <f>+D19</f>
        <v>18231900</v>
      </c>
      <c r="E18" s="55">
        <f>+E19</f>
        <v>17592070</v>
      </c>
      <c r="F18" s="55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36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28.15" customHeight="1" x14ac:dyDescent="0.25">
      <c r="A19" s="140" t="s">
        <v>23</v>
      </c>
      <c r="B19" s="64" t="s">
        <v>6</v>
      </c>
      <c r="C19" s="64" t="s">
        <v>24</v>
      </c>
      <c r="D19" s="55">
        <f>+D20+D22+D24+D26</f>
        <v>18231900</v>
      </c>
      <c r="E19" s="55">
        <f t="shared" ref="E19:F19" si="1">+E20+E22+E24+E26</f>
        <v>17592070</v>
      </c>
      <c r="F19" s="55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36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201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7.6" customHeight="1" x14ac:dyDescent="0.25">
      <c r="A20" s="140" t="s">
        <v>25</v>
      </c>
      <c r="B20" s="64" t="s">
        <v>6</v>
      </c>
      <c r="C20" s="64" t="s">
        <v>26</v>
      </c>
      <c r="D20" s="55">
        <f t="shared" ref="D20:F20" si="2">+D21</f>
        <v>9376000</v>
      </c>
      <c r="E20" s="55">
        <f t="shared" si="2"/>
        <v>8392870</v>
      </c>
      <c r="F20" s="55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36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201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5.45" customHeight="1" x14ac:dyDescent="0.25">
      <c r="A21" s="140" t="s">
        <v>27</v>
      </c>
      <c r="B21" s="76">
        <v>182</v>
      </c>
      <c r="C21" s="65" t="s">
        <v>28</v>
      </c>
      <c r="D21" s="56">
        <f>4753570+2738860+1883570</f>
        <v>9376000</v>
      </c>
      <c r="E21" s="56">
        <f>4753570+3639300</f>
        <v>8392870</v>
      </c>
      <c r="F21" s="56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36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201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66.599999999999994" customHeight="1" x14ac:dyDescent="0.25">
      <c r="A22" s="140" t="s">
        <v>29</v>
      </c>
      <c r="B22" s="64" t="s">
        <v>6</v>
      </c>
      <c r="C22" s="64" t="s">
        <v>30</v>
      </c>
      <c r="D22" s="55">
        <f>+D23</f>
        <v>47200</v>
      </c>
      <c r="E22" s="55">
        <f>+E23</f>
        <v>57330</v>
      </c>
      <c r="F22" s="55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36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201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9.9" customHeight="1" x14ac:dyDescent="0.25">
      <c r="A23" s="140" t="s">
        <v>31</v>
      </c>
      <c r="B23" s="64" t="s">
        <v>13</v>
      </c>
      <c r="C23" s="65" t="s">
        <v>338</v>
      </c>
      <c r="D23" s="56">
        <f>26550+25490-4840</f>
        <v>47200</v>
      </c>
      <c r="E23" s="56">
        <f>26550+30780</f>
        <v>57330</v>
      </c>
      <c r="F23" s="56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36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201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60" customHeight="1" x14ac:dyDescent="0.25">
      <c r="A24" s="140" t="s">
        <v>32</v>
      </c>
      <c r="B24" s="64" t="s">
        <v>6</v>
      </c>
      <c r="C24" s="64" t="s">
        <v>33</v>
      </c>
      <c r="D24" s="55">
        <f>+D25</f>
        <v>9953800</v>
      </c>
      <c r="E24" s="55">
        <f>+E25</f>
        <v>10241020</v>
      </c>
      <c r="F24" s="55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36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201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140" t="s">
        <v>34</v>
      </c>
      <c r="B25" s="64" t="s">
        <v>13</v>
      </c>
      <c r="C25" s="65" t="s">
        <v>339</v>
      </c>
      <c r="D25" s="56">
        <f>3045220+6216950+691630</f>
        <v>9953800</v>
      </c>
      <c r="E25" s="56">
        <f>5901751+315199+4024070</f>
        <v>10241020</v>
      </c>
      <c r="F25" s="56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36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201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57" customHeight="1" x14ac:dyDescent="0.25">
      <c r="A26" s="140" t="s">
        <v>35</v>
      </c>
      <c r="B26" s="64" t="s">
        <v>6</v>
      </c>
      <c r="C26" s="64" t="s">
        <v>36</v>
      </c>
      <c r="D26" s="55">
        <f>+D27</f>
        <v>-1145100</v>
      </c>
      <c r="E26" s="55">
        <f>+E27</f>
        <v>-1099150</v>
      </c>
      <c r="F26" s="55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36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201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8.45" customHeight="1" x14ac:dyDescent="0.25">
      <c r="A27" s="140" t="s">
        <v>37</v>
      </c>
      <c r="B27" s="64" t="s">
        <v>13</v>
      </c>
      <c r="C27" s="65" t="s">
        <v>340</v>
      </c>
      <c r="D27" s="56">
        <f>-729790-258360-156950</f>
        <v>-1145100</v>
      </c>
      <c r="E27" s="56">
        <f>-578611-151179-369360</f>
        <v>-1099150</v>
      </c>
      <c r="F27" s="56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36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201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">
      <c r="A28" s="129" t="s">
        <v>38</v>
      </c>
      <c r="B28" s="64" t="s">
        <v>6</v>
      </c>
      <c r="C28" s="17" t="s">
        <v>39</v>
      </c>
      <c r="D28" s="55">
        <f>+D38+D29+D36</f>
        <v>255911477.04000002</v>
      </c>
      <c r="E28" s="55">
        <f t="shared" ref="E28:F28" si="3">+E38+E29+E36</f>
        <v>188861207</v>
      </c>
      <c r="F28" s="55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136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9" customHeight="1" x14ac:dyDescent="0.2">
      <c r="A29" s="140" t="s">
        <v>40</v>
      </c>
      <c r="B29" s="64" t="s">
        <v>6</v>
      </c>
      <c r="C29" s="28" t="s">
        <v>41</v>
      </c>
      <c r="D29" s="55">
        <f>+D30+D33+D35</f>
        <v>232791271.93000001</v>
      </c>
      <c r="E29" s="55">
        <f t="shared" ref="E29:F29" si="4">+E30+E33+E35</f>
        <v>165539207</v>
      </c>
      <c r="F29" s="55">
        <f t="shared" si="4"/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136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5.15" customHeight="1" x14ac:dyDescent="0.2">
      <c r="A30" s="140" t="s">
        <v>42</v>
      </c>
      <c r="B30" s="64" t="s">
        <v>6</v>
      </c>
      <c r="C30" s="28" t="s">
        <v>43</v>
      </c>
      <c r="D30" s="55">
        <f>+D31+D32</f>
        <v>145429650.09</v>
      </c>
      <c r="E30" s="55">
        <f t="shared" ref="E30:F30" si="5">+E31+E32</f>
        <v>103401577</v>
      </c>
      <c r="F30" s="55">
        <f t="shared" si="5"/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136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6.45" customHeight="1" x14ac:dyDescent="0.2">
      <c r="A31" s="140" t="s">
        <v>42</v>
      </c>
      <c r="B31" s="64" t="s">
        <v>13</v>
      </c>
      <c r="C31" s="28" t="s">
        <v>44</v>
      </c>
      <c r="D31" s="55">
        <f>98854280+46517529</f>
        <v>145371809</v>
      </c>
      <c r="E31" s="55">
        <f>103401577</f>
        <v>103401577</v>
      </c>
      <c r="F31" s="55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136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0.9" customHeight="1" x14ac:dyDescent="0.2">
      <c r="A32" s="166" t="s">
        <v>483</v>
      </c>
      <c r="B32" s="64" t="s">
        <v>13</v>
      </c>
      <c r="C32" s="28" t="s">
        <v>482</v>
      </c>
      <c r="D32" s="163">
        <v>57841.09</v>
      </c>
      <c r="E32" s="55">
        <v>0</v>
      </c>
      <c r="F32" s="55">
        <v>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36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41.45" customHeight="1" x14ac:dyDescent="0.2">
      <c r="A33" s="140" t="s">
        <v>45</v>
      </c>
      <c r="B33" s="64" t="s">
        <v>6</v>
      </c>
      <c r="C33" s="28" t="s">
        <v>46</v>
      </c>
      <c r="D33" s="55">
        <f>+D34</f>
        <v>87359013</v>
      </c>
      <c r="E33" s="55">
        <f>+E34</f>
        <v>62137630</v>
      </c>
      <c r="F33" s="55">
        <f>+F34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136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55.15" customHeight="1" x14ac:dyDescent="0.2">
      <c r="A34" s="140" t="s">
        <v>47</v>
      </c>
      <c r="B34" s="64" t="s">
        <v>13</v>
      </c>
      <c r="C34" s="28" t="s">
        <v>48</v>
      </c>
      <c r="D34" s="55">
        <f>59405000+27954013</f>
        <v>87359013</v>
      </c>
      <c r="E34" s="55">
        <f>62137630</f>
        <v>62137630</v>
      </c>
      <c r="F34" s="55">
        <f>64623135</f>
        <v>64623135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136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42" customHeight="1" x14ac:dyDescent="0.2">
      <c r="A35" s="154" t="s">
        <v>484</v>
      </c>
      <c r="B35" s="64" t="s">
        <v>13</v>
      </c>
      <c r="C35" s="155" t="s">
        <v>485</v>
      </c>
      <c r="D35" s="156">
        <v>2608.84</v>
      </c>
      <c r="E35" s="55">
        <v>0</v>
      </c>
      <c r="F35" s="55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36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15.6" customHeight="1" x14ac:dyDescent="0.2">
      <c r="A36" s="140" t="s">
        <v>341</v>
      </c>
      <c r="B36" s="64" t="s">
        <v>6</v>
      </c>
      <c r="C36" s="28" t="s">
        <v>342</v>
      </c>
      <c r="D36" s="55">
        <f>+D37</f>
        <v>70205.11</v>
      </c>
      <c r="E36" s="55">
        <f t="shared" ref="E36:F36" si="6">+E37</f>
        <v>22000</v>
      </c>
      <c r="F36" s="55">
        <f t="shared" si="6"/>
        <v>23000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136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9.899999999999999" customHeight="1" x14ac:dyDescent="0.2">
      <c r="A37" s="140" t="s">
        <v>341</v>
      </c>
      <c r="B37" s="64" t="s">
        <v>13</v>
      </c>
      <c r="C37" s="28" t="s">
        <v>343</v>
      </c>
      <c r="D37" s="55">
        <f>20000+50205.11</f>
        <v>70205.11</v>
      </c>
      <c r="E37" s="55">
        <v>22000</v>
      </c>
      <c r="F37" s="55">
        <v>23000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136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4" customFormat="1" ht="27" customHeight="1" x14ac:dyDescent="0.25">
      <c r="A38" s="140" t="s">
        <v>49</v>
      </c>
      <c r="B38" s="64" t="s">
        <v>6</v>
      </c>
      <c r="C38" s="66" t="s">
        <v>50</v>
      </c>
      <c r="D38" s="55">
        <f>+D39</f>
        <v>23050000</v>
      </c>
      <c r="E38" s="55">
        <f>+E39</f>
        <v>23300000</v>
      </c>
      <c r="F38" s="55">
        <f>+F39</f>
        <v>24000000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36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3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4" customFormat="1" ht="27.6" customHeight="1" x14ac:dyDescent="0.25">
      <c r="A39" s="140" t="s">
        <v>51</v>
      </c>
      <c r="B39" s="64" t="s">
        <v>13</v>
      </c>
      <c r="C39" s="66" t="s">
        <v>52</v>
      </c>
      <c r="D39" s="55">
        <v>23050000</v>
      </c>
      <c r="E39" s="55">
        <v>23300000</v>
      </c>
      <c r="F39" s="55">
        <v>24000000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36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138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23" customFormat="1" ht="15.6" customHeight="1" x14ac:dyDescent="0.2">
      <c r="A40" s="129" t="s">
        <v>53</v>
      </c>
      <c r="B40" s="64" t="s">
        <v>6</v>
      </c>
      <c r="C40" s="17" t="s">
        <v>54</v>
      </c>
      <c r="D40" s="55">
        <f>+D41+D43</f>
        <v>81450000</v>
      </c>
      <c r="E40" s="55">
        <f t="shared" ref="E40:F40" si="7">+E41+E43</f>
        <v>84300000</v>
      </c>
      <c r="F40" s="55">
        <f t="shared" si="7"/>
        <v>87000000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"/>
      <c r="U40" s="3"/>
      <c r="V40" s="136"/>
      <c r="W40" s="3"/>
      <c r="X40" s="3"/>
      <c r="Y40" s="22"/>
      <c r="Z40" s="22"/>
      <c r="AC40" s="21"/>
      <c r="AD40" s="21"/>
      <c r="AE40" s="21"/>
      <c r="AF40" s="21"/>
      <c r="AG40" s="21"/>
      <c r="AH40" s="21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BM40" s="22"/>
      <c r="BN40" s="22"/>
    </row>
    <row r="41" spans="1:66" s="4" customFormat="1" ht="15.6" customHeight="1" x14ac:dyDescent="0.25">
      <c r="A41" s="140" t="s">
        <v>55</v>
      </c>
      <c r="B41" s="64" t="s">
        <v>6</v>
      </c>
      <c r="C41" s="17" t="s">
        <v>56</v>
      </c>
      <c r="D41" s="55">
        <f>+D42</f>
        <v>14250000</v>
      </c>
      <c r="E41" s="55">
        <f>+E42</f>
        <v>16500000</v>
      </c>
      <c r="F41" s="55">
        <f>+F42</f>
        <v>18500000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36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42.6" customHeight="1" x14ac:dyDescent="0.25">
      <c r="A42" s="140" t="s">
        <v>57</v>
      </c>
      <c r="B42" s="64" t="s">
        <v>13</v>
      </c>
      <c r="C42" s="17" t="s">
        <v>58</v>
      </c>
      <c r="D42" s="55">
        <v>14250000</v>
      </c>
      <c r="E42" s="55">
        <v>16500000</v>
      </c>
      <c r="F42" s="55">
        <v>18500000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36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138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12.6" customHeight="1" x14ac:dyDescent="0.25">
      <c r="A43" s="140" t="s">
        <v>59</v>
      </c>
      <c r="B43" s="64" t="s">
        <v>6</v>
      </c>
      <c r="C43" s="64" t="s">
        <v>60</v>
      </c>
      <c r="D43" s="55">
        <f>+D44+D46</f>
        <v>67200000</v>
      </c>
      <c r="E43" s="55">
        <f>+E44+E46</f>
        <v>67800000</v>
      </c>
      <c r="F43" s="55">
        <f>+F44+F46</f>
        <v>68500000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36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4.45" customHeight="1" x14ac:dyDescent="0.25">
      <c r="A44" s="140" t="s">
        <v>61</v>
      </c>
      <c r="B44" s="64" t="s">
        <v>6</v>
      </c>
      <c r="C44" s="64" t="s">
        <v>62</v>
      </c>
      <c r="D44" s="55">
        <f>+D45</f>
        <v>55090000</v>
      </c>
      <c r="E44" s="55">
        <f>+E45</f>
        <v>55600000</v>
      </c>
      <c r="F44" s="55">
        <f>+F45</f>
        <v>56200000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36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30.6" customHeight="1" x14ac:dyDescent="0.25">
      <c r="A45" s="140" t="s">
        <v>63</v>
      </c>
      <c r="B45" s="64" t="s">
        <v>13</v>
      </c>
      <c r="C45" s="64" t="s">
        <v>64</v>
      </c>
      <c r="D45" s="55">
        <v>55090000</v>
      </c>
      <c r="E45" s="55">
        <v>55600000</v>
      </c>
      <c r="F45" s="55">
        <v>56200000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36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15" customHeight="1" x14ac:dyDescent="0.25">
      <c r="A46" s="140" t="s">
        <v>65</v>
      </c>
      <c r="B46" s="64" t="s">
        <v>6</v>
      </c>
      <c r="C46" s="64" t="s">
        <v>66</v>
      </c>
      <c r="D46" s="55">
        <f>+D47</f>
        <v>12110000</v>
      </c>
      <c r="E46" s="55">
        <f>+E47</f>
        <v>12200000</v>
      </c>
      <c r="F46" s="55">
        <f>+F47</f>
        <v>12300000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36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31.9" customHeight="1" x14ac:dyDescent="0.25">
      <c r="A47" s="140" t="s">
        <v>67</v>
      </c>
      <c r="B47" s="64" t="s">
        <v>13</v>
      </c>
      <c r="C47" s="64" t="s">
        <v>68</v>
      </c>
      <c r="D47" s="55">
        <v>12110000</v>
      </c>
      <c r="E47" s="55">
        <v>12200000</v>
      </c>
      <c r="F47" s="55"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36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138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30" customFormat="1" ht="15.6" customHeight="1" x14ac:dyDescent="0.2">
      <c r="A48" s="129" t="s">
        <v>69</v>
      </c>
      <c r="B48" s="16" t="s">
        <v>6</v>
      </c>
      <c r="C48" s="17" t="s">
        <v>70</v>
      </c>
      <c r="D48" s="55">
        <f>+D49+D51</f>
        <v>21645000</v>
      </c>
      <c r="E48" s="55">
        <f t="shared" ref="E48:F48" si="8">+E49+E51</f>
        <v>21700000</v>
      </c>
      <c r="F48" s="55">
        <f t="shared" si="8"/>
        <v>21820000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36"/>
      <c r="U48" s="136"/>
      <c r="V48" s="136"/>
      <c r="W48" s="136"/>
      <c r="X48" s="136"/>
      <c r="Y48" s="29"/>
      <c r="Z48" s="29"/>
      <c r="AC48" s="31"/>
      <c r="AD48" s="31"/>
      <c r="AE48" s="31"/>
      <c r="AF48" s="31"/>
      <c r="AG48" s="31"/>
      <c r="AH48" s="31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BM48" s="29"/>
      <c r="BN48" s="29"/>
    </row>
    <row r="49" spans="1:66" s="30" customFormat="1" ht="31.15" customHeight="1" x14ac:dyDescent="0.2">
      <c r="A49" s="140" t="s">
        <v>71</v>
      </c>
      <c r="B49" s="64" t="s">
        <v>6</v>
      </c>
      <c r="C49" s="17" t="s">
        <v>72</v>
      </c>
      <c r="D49" s="55">
        <f>+D50</f>
        <v>21600000</v>
      </c>
      <c r="E49" s="55">
        <f>+E50</f>
        <v>21700000</v>
      </c>
      <c r="F49" s="55">
        <f>+F50</f>
        <v>21800000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36"/>
      <c r="U49" s="136"/>
      <c r="V49" s="136"/>
      <c r="W49" s="136"/>
      <c r="X49" s="136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4" customFormat="1" ht="40.9" customHeight="1" x14ac:dyDescent="0.25">
      <c r="A50" s="140" t="s">
        <v>73</v>
      </c>
      <c r="B50" s="64" t="s">
        <v>13</v>
      </c>
      <c r="C50" s="17" t="s">
        <v>74</v>
      </c>
      <c r="D50" s="55">
        <v>21600000</v>
      </c>
      <c r="E50" s="55">
        <v>21700000</v>
      </c>
      <c r="F50" s="55">
        <v>21800000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36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138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7.6" customHeight="1" x14ac:dyDescent="0.25">
      <c r="A51" s="140" t="s">
        <v>75</v>
      </c>
      <c r="B51" s="16" t="s">
        <v>6</v>
      </c>
      <c r="C51" s="17" t="s">
        <v>76</v>
      </c>
      <c r="D51" s="55">
        <f>+D52</f>
        <v>45000</v>
      </c>
      <c r="E51" s="55">
        <f t="shared" ref="E51:F51" si="9">+E52</f>
        <v>0</v>
      </c>
      <c r="F51" s="55">
        <f t="shared" si="9"/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36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9.45" customHeight="1" x14ac:dyDescent="0.25">
      <c r="A52" s="140" t="s">
        <v>77</v>
      </c>
      <c r="B52" s="16" t="s">
        <v>6</v>
      </c>
      <c r="C52" s="17" t="s">
        <v>79</v>
      </c>
      <c r="D52" s="55">
        <f t="shared" ref="D52:F52" si="10">+D53</f>
        <v>45000</v>
      </c>
      <c r="E52" s="55">
        <f t="shared" si="10"/>
        <v>0</v>
      </c>
      <c r="F52" s="55">
        <f t="shared" si="10"/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36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30.6" customHeight="1" x14ac:dyDescent="0.25">
      <c r="A53" s="140" t="s">
        <v>77</v>
      </c>
      <c r="B53" s="16" t="s">
        <v>78</v>
      </c>
      <c r="C53" s="17" t="s">
        <v>314</v>
      </c>
      <c r="D53" s="55">
        <f>15000+30000</f>
        <v>45000</v>
      </c>
      <c r="E53" s="55">
        <v>0</v>
      </c>
      <c r="F53" s="55">
        <v>20000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36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23" customFormat="1" ht="43.9" customHeight="1" x14ac:dyDescent="0.2">
      <c r="A54" s="129" t="s">
        <v>81</v>
      </c>
      <c r="B54" s="16" t="s">
        <v>6</v>
      </c>
      <c r="C54" s="17" t="s">
        <v>82</v>
      </c>
      <c r="D54" s="55">
        <f>+D55+D70+D73+D65</f>
        <v>97469121</v>
      </c>
      <c r="E54" s="55">
        <f t="shared" ref="E54:F54" si="11">+E55+E70+E73+E65</f>
        <v>101071085</v>
      </c>
      <c r="F54" s="55">
        <f t="shared" si="11"/>
        <v>105114721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3"/>
      <c r="V54" s="136"/>
      <c r="W54" s="3"/>
      <c r="X54" s="3"/>
      <c r="Y54" s="22"/>
      <c r="Z54" s="22"/>
      <c r="AC54" s="21"/>
      <c r="AD54" s="21"/>
      <c r="AE54" s="21"/>
      <c r="AF54" s="21"/>
      <c r="AG54" s="21"/>
      <c r="AH54" s="21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BM54" s="22"/>
      <c r="BN54" s="22"/>
    </row>
    <row r="55" spans="1:66" s="4" customFormat="1" ht="67.900000000000006" customHeight="1" x14ac:dyDescent="0.25">
      <c r="A55" s="167" t="s">
        <v>83</v>
      </c>
      <c r="B55" s="67" t="s">
        <v>6</v>
      </c>
      <c r="C55" s="68" t="s">
        <v>84</v>
      </c>
      <c r="D55" s="69">
        <f>D56+D59+D62</f>
        <v>77416255</v>
      </c>
      <c r="E55" s="69">
        <f t="shared" ref="E55:F55" si="12">E56+E59+E62</f>
        <v>81895248</v>
      </c>
      <c r="F55" s="69">
        <f t="shared" si="12"/>
        <v>85416744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36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55.9" customHeight="1" x14ac:dyDescent="0.25">
      <c r="A56" s="167" t="s">
        <v>85</v>
      </c>
      <c r="B56" s="67" t="s">
        <v>6</v>
      </c>
      <c r="C56" s="68" t="s">
        <v>86</v>
      </c>
      <c r="D56" s="69">
        <f t="shared" ref="D56:F57" si="13">+D57</f>
        <v>63185000</v>
      </c>
      <c r="E56" s="69">
        <f t="shared" si="13"/>
        <v>64774369</v>
      </c>
      <c r="F56" s="69">
        <f t="shared" si="13"/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36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7.900000000000006" customHeight="1" x14ac:dyDescent="0.25">
      <c r="A57" s="167" t="s">
        <v>87</v>
      </c>
      <c r="B57" s="67" t="s">
        <v>6</v>
      </c>
      <c r="C57" s="68" t="s">
        <v>88</v>
      </c>
      <c r="D57" s="69">
        <f t="shared" si="13"/>
        <v>63185000</v>
      </c>
      <c r="E57" s="69">
        <f t="shared" si="13"/>
        <v>64774369</v>
      </c>
      <c r="F57" s="69">
        <f t="shared" si="13"/>
        <v>67559667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36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7.150000000000006" customHeight="1" x14ac:dyDescent="0.25">
      <c r="A58" s="167" t="s">
        <v>316</v>
      </c>
      <c r="B58" s="67" t="s">
        <v>78</v>
      </c>
      <c r="C58" s="68" t="s">
        <v>315</v>
      </c>
      <c r="D58" s="69">
        <f>60890993+1212908-2010000+3091099</f>
        <v>63185000</v>
      </c>
      <c r="E58" s="69">
        <f>63509305+1265064</f>
        <v>64774369</v>
      </c>
      <c r="F58" s="69">
        <f>66240205+1319462</f>
        <v>67559667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36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70.900000000000006" customHeight="1" x14ac:dyDescent="0.25">
      <c r="A59" s="167" t="s">
        <v>89</v>
      </c>
      <c r="B59" s="67" t="s">
        <v>6</v>
      </c>
      <c r="C59" s="68" t="s">
        <v>90</v>
      </c>
      <c r="D59" s="69">
        <f t="shared" ref="D59:F60" si="14">+D60</f>
        <v>9060000</v>
      </c>
      <c r="E59" s="69">
        <f t="shared" si="14"/>
        <v>11742774</v>
      </c>
      <c r="F59" s="69">
        <f t="shared" si="14"/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36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6" customHeight="1" x14ac:dyDescent="0.25">
      <c r="A60" s="167" t="s">
        <v>91</v>
      </c>
      <c r="B60" s="67" t="s">
        <v>6</v>
      </c>
      <c r="C60" s="68" t="s">
        <v>92</v>
      </c>
      <c r="D60" s="69">
        <f t="shared" si="14"/>
        <v>9060000</v>
      </c>
      <c r="E60" s="69">
        <f t="shared" si="14"/>
        <v>11742774</v>
      </c>
      <c r="F60" s="69">
        <f t="shared" si="14"/>
        <v>12247713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36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9.599999999999994" customHeight="1" x14ac:dyDescent="0.25">
      <c r="A61" s="167" t="s">
        <v>318</v>
      </c>
      <c r="B61" s="67" t="s">
        <v>78</v>
      </c>
      <c r="C61" s="68" t="s">
        <v>317</v>
      </c>
      <c r="D61" s="69">
        <f>9012052+2246600-2198652</f>
        <v>9060000</v>
      </c>
      <c r="E61" s="69">
        <f>9399571+2343203</f>
        <v>11742774</v>
      </c>
      <c r="F61" s="69">
        <f>9803752+2443961</f>
        <v>12247713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36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42" customHeight="1" x14ac:dyDescent="0.25">
      <c r="A62" s="167" t="s">
        <v>93</v>
      </c>
      <c r="B62" s="67" t="s">
        <v>6</v>
      </c>
      <c r="C62" s="68" t="s">
        <v>94</v>
      </c>
      <c r="D62" s="69">
        <f t="shared" ref="D62:F63" si="15">+D63</f>
        <v>5171255</v>
      </c>
      <c r="E62" s="69">
        <f t="shared" si="15"/>
        <v>5378105</v>
      </c>
      <c r="F62" s="69">
        <f t="shared" si="15"/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36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8.9" customHeight="1" x14ac:dyDescent="0.25">
      <c r="A63" s="167" t="s">
        <v>95</v>
      </c>
      <c r="B63" s="67" t="s">
        <v>6</v>
      </c>
      <c r="C63" s="68" t="s">
        <v>96</v>
      </c>
      <c r="D63" s="69">
        <f t="shared" si="15"/>
        <v>5171255</v>
      </c>
      <c r="E63" s="69">
        <f t="shared" si="15"/>
        <v>5378105</v>
      </c>
      <c r="F63" s="69">
        <f t="shared" si="15"/>
        <v>5609364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36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38.25" x14ac:dyDescent="0.25">
      <c r="A64" s="167" t="s">
        <v>320</v>
      </c>
      <c r="B64" s="67" t="s">
        <v>78</v>
      </c>
      <c r="C64" s="68" t="s">
        <v>319</v>
      </c>
      <c r="D64" s="69">
        <f>5502231-330976</f>
        <v>5171255</v>
      </c>
      <c r="E64" s="69">
        <f>5738827-360722</f>
        <v>5378105</v>
      </c>
      <c r="F64" s="69">
        <f>5985596-376232</f>
        <v>5609364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36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55.9" customHeight="1" x14ac:dyDescent="0.25">
      <c r="A65" s="159" t="s">
        <v>471</v>
      </c>
      <c r="B65" s="16" t="s">
        <v>6</v>
      </c>
      <c r="C65" s="39" t="s">
        <v>474</v>
      </c>
      <c r="D65" s="55">
        <f>+D66+D68</f>
        <v>544129</v>
      </c>
      <c r="E65" s="55">
        <f t="shared" ref="E65:F65" si="16">+E66+E68</f>
        <v>0</v>
      </c>
      <c r="F65" s="55">
        <f t="shared" si="16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36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6.45" customHeight="1" x14ac:dyDescent="0.25">
      <c r="A66" s="142" t="s">
        <v>472</v>
      </c>
      <c r="B66" s="67" t="s">
        <v>6</v>
      </c>
      <c r="C66" s="72" t="s">
        <v>475</v>
      </c>
      <c r="D66" s="69">
        <f>+D67</f>
        <v>543100</v>
      </c>
      <c r="E66" s="69">
        <f t="shared" ref="E66:F66" si="17">+E67</f>
        <v>0</v>
      </c>
      <c r="F66" s="69">
        <f t="shared" si="17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36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36.15" customHeight="1" x14ac:dyDescent="0.25">
      <c r="A67" s="142" t="s">
        <v>473</v>
      </c>
      <c r="B67" s="67" t="s">
        <v>78</v>
      </c>
      <c r="C67" s="72" t="s">
        <v>476</v>
      </c>
      <c r="D67" s="69">
        <f>118000+425100</f>
        <v>543100</v>
      </c>
      <c r="E67" s="69">
        <v>0</v>
      </c>
      <c r="F67" s="69"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36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>
        <v>0</v>
      </c>
      <c r="BN67" s="3"/>
    </row>
    <row r="68" spans="1:66" s="4" customFormat="1" ht="55.15" customHeight="1" x14ac:dyDescent="0.25">
      <c r="A68" s="167" t="s">
        <v>477</v>
      </c>
      <c r="B68" s="67" t="s">
        <v>6</v>
      </c>
      <c r="C68" s="68" t="s">
        <v>478</v>
      </c>
      <c r="D68" s="69">
        <f>+D69</f>
        <v>1029</v>
      </c>
      <c r="E68" s="69">
        <f t="shared" ref="E68:F68" si="18">+E69</f>
        <v>0</v>
      </c>
      <c r="F68" s="69">
        <f t="shared" si="18"/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36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22.45" customHeight="1" x14ac:dyDescent="0.25">
      <c r="A69" s="167" t="s">
        <v>479</v>
      </c>
      <c r="B69" s="67" t="s">
        <v>78</v>
      </c>
      <c r="C69" s="68" t="s">
        <v>480</v>
      </c>
      <c r="D69" s="69">
        <v>1029</v>
      </c>
      <c r="E69" s="69">
        <v>0</v>
      </c>
      <c r="F69" s="69">
        <v>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36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27.6" customHeight="1" x14ac:dyDescent="0.25">
      <c r="A70" s="167" t="s">
        <v>97</v>
      </c>
      <c r="B70" s="67" t="s">
        <v>6</v>
      </c>
      <c r="C70" s="68" t="s">
        <v>98</v>
      </c>
      <c r="D70" s="69">
        <f>+D71</f>
        <v>365624</v>
      </c>
      <c r="E70" s="69">
        <f t="shared" ref="D70:F71" si="19">+E71</f>
        <v>347000</v>
      </c>
      <c r="F70" s="69">
        <f t="shared" si="19"/>
        <v>382000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36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40.9" customHeight="1" x14ac:dyDescent="0.25">
      <c r="A71" s="167" t="s">
        <v>99</v>
      </c>
      <c r="B71" s="67" t="s">
        <v>6</v>
      </c>
      <c r="C71" s="68" t="s">
        <v>100</v>
      </c>
      <c r="D71" s="69">
        <f t="shared" si="19"/>
        <v>365624</v>
      </c>
      <c r="E71" s="69">
        <f t="shared" si="19"/>
        <v>347000</v>
      </c>
      <c r="F71" s="69">
        <f t="shared" si="19"/>
        <v>382000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36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43.15" customHeight="1" x14ac:dyDescent="0.25">
      <c r="A72" s="167" t="s">
        <v>101</v>
      </c>
      <c r="B72" s="67" t="s">
        <v>78</v>
      </c>
      <c r="C72" s="68" t="s">
        <v>102</v>
      </c>
      <c r="D72" s="69">
        <f>316000+4424+45200</f>
        <v>365624</v>
      </c>
      <c r="E72" s="69">
        <v>347000</v>
      </c>
      <c r="F72" s="69">
        <v>382000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36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70.150000000000006" customHeight="1" x14ac:dyDescent="0.25">
      <c r="A73" s="167" t="s">
        <v>103</v>
      </c>
      <c r="B73" s="67" t="s">
        <v>6</v>
      </c>
      <c r="C73" s="68" t="s">
        <v>104</v>
      </c>
      <c r="D73" s="69">
        <f>+D74+D79</f>
        <v>19143113</v>
      </c>
      <c r="E73" s="69">
        <f t="shared" ref="E73:F73" si="20">+E74+E79</f>
        <v>18828837</v>
      </c>
      <c r="F73" s="69">
        <f t="shared" si="20"/>
        <v>19315977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36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69" customHeight="1" x14ac:dyDescent="0.25">
      <c r="A74" s="167" t="s">
        <v>105</v>
      </c>
      <c r="B74" s="67" t="s">
        <v>6</v>
      </c>
      <c r="C74" s="70" t="s">
        <v>106</v>
      </c>
      <c r="D74" s="69">
        <f t="shared" ref="D74:F75" si="21">+D75</f>
        <v>7500000</v>
      </c>
      <c r="E74" s="69">
        <f t="shared" si="21"/>
        <v>7500000</v>
      </c>
      <c r="F74" s="69">
        <f t="shared" si="21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36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8.45" customHeight="1" x14ac:dyDescent="0.25">
      <c r="A75" s="167" t="s">
        <v>107</v>
      </c>
      <c r="B75" s="67" t="s">
        <v>6</v>
      </c>
      <c r="C75" s="68" t="s">
        <v>108</v>
      </c>
      <c r="D75" s="69">
        <f t="shared" si="21"/>
        <v>7500000</v>
      </c>
      <c r="E75" s="69">
        <f t="shared" si="21"/>
        <v>7500000</v>
      </c>
      <c r="F75" s="69">
        <f t="shared" si="21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36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82.15" customHeight="1" x14ac:dyDescent="0.2">
      <c r="A76" s="168" t="s">
        <v>109</v>
      </c>
      <c r="B76" s="67" t="s">
        <v>6</v>
      </c>
      <c r="C76" s="68" t="s">
        <v>110</v>
      </c>
      <c r="D76" s="69">
        <f t="shared" ref="D76:F76" si="22">+D77+D78</f>
        <v>7500000</v>
      </c>
      <c r="E76" s="69">
        <f t="shared" si="22"/>
        <v>7500000</v>
      </c>
      <c r="F76" s="69">
        <f t="shared" si="22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36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79.900000000000006" customHeight="1" x14ac:dyDescent="0.2">
      <c r="A77" s="168" t="s">
        <v>111</v>
      </c>
      <c r="B77" s="67" t="s">
        <v>80</v>
      </c>
      <c r="C77" s="68" t="s">
        <v>112</v>
      </c>
      <c r="D77" s="69">
        <v>7000000</v>
      </c>
      <c r="E77" s="69">
        <v>7000000</v>
      </c>
      <c r="F77" s="69">
        <v>7000000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36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4" customHeight="1" x14ac:dyDescent="0.2">
      <c r="A78" s="168" t="s">
        <v>113</v>
      </c>
      <c r="B78" s="67" t="s">
        <v>80</v>
      </c>
      <c r="C78" s="68" t="s">
        <v>114</v>
      </c>
      <c r="D78" s="69">
        <f>350000+150000</f>
        <v>500000</v>
      </c>
      <c r="E78" s="69">
        <f t="shared" ref="E78:F78" si="23">350000+150000</f>
        <v>500000</v>
      </c>
      <c r="F78" s="69">
        <f t="shared" si="23"/>
        <v>500000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36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93.6" customHeight="1" x14ac:dyDescent="0.2">
      <c r="A79" s="154" t="s">
        <v>302</v>
      </c>
      <c r="B79" s="16" t="s">
        <v>6</v>
      </c>
      <c r="C79" s="17" t="s">
        <v>301</v>
      </c>
      <c r="D79" s="55">
        <f>+D80</f>
        <v>11643113</v>
      </c>
      <c r="E79" s="55">
        <f t="shared" ref="E79:F79" si="24">+E80</f>
        <v>11328837</v>
      </c>
      <c r="F79" s="55">
        <f t="shared" si="24"/>
        <v>11815977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36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81.599999999999994" customHeight="1" x14ac:dyDescent="0.2">
      <c r="A80" s="154" t="s">
        <v>303</v>
      </c>
      <c r="B80" s="16" t="s">
        <v>6</v>
      </c>
      <c r="C80" s="17" t="s">
        <v>321</v>
      </c>
      <c r="D80" s="55">
        <f>+D81+D83+D85</f>
        <v>11643113</v>
      </c>
      <c r="E80" s="55">
        <f t="shared" ref="E80:F80" si="25">+E81+E83+E85</f>
        <v>11328837</v>
      </c>
      <c r="F80" s="55">
        <f t="shared" si="25"/>
        <v>11815977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36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2.15" customHeight="1" x14ac:dyDescent="0.2">
      <c r="A81" s="154" t="s">
        <v>303</v>
      </c>
      <c r="B81" s="16" t="s">
        <v>6</v>
      </c>
      <c r="C81" s="17" t="s">
        <v>306</v>
      </c>
      <c r="D81" s="55">
        <f t="shared" ref="D81:F81" si="26">+D82</f>
        <v>5897114</v>
      </c>
      <c r="E81" s="55">
        <f t="shared" si="26"/>
        <v>6132999</v>
      </c>
      <c r="F81" s="55">
        <f t="shared" si="26"/>
        <v>6396718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36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94.9" customHeight="1" x14ac:dyDescent="0.2">
      <c r="A82" s="140" t="s">
        <v>356</v>
      </c>
      <c r="B82" s="16" t="s">
        <v>78</v>
      </c>
      <c r="C82" s="17" t="s">
        <v>304</v>
      </c>
      <c r="D82" s="55">
        <f>6468845-571731</f>
        <v>5897114</v>
      </c>
      <c r="E82" s="55">
        <f>6747005-614006</f>
        <v>6132999</v>
      </c>
      <c r="F82" s="55">
        <f>7037127-640409</f>
        <v>6396718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36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81" customHeight="1" x14ac:dyDescent="0.2">
      <c r="A83" s="154" t="s">
        <v>303</v>
      </c>
      <c r="B83" s="16" t="s">
        <v>6</v>
      </c>
      <c r="C83" s="17" t="s">
        <v>307</v>
      </c>
      <c r="D83" s="55">
        <f t="shared" ref="D83:F83" si="27">+D84</f>
        <v>2292979</v>
      </c>
      <c r="E83" s="55">
        <f t="shared" si="27"/>
        <v>2384698</v>
      </c>
      <c r="F83" s="55">
        <f t="shared" si="27"/>
        <v>2487240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36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114.75" x14ac:dyDescent="0.2">
      <c r="A84" s="140" t="s">
        <v>344</v>
      </c>
      <c r="B84" s="16" t="s">
        <v>78</v>
      </c>
      <c r="C84" s="17" t="s">
        <v>305</v>
      </c>
      <c r="D84" s="55">
        <f>2350359-57380</f>
        <v>2292979</v>
      </c>
      <c r="E84" s="55">
        <f>2451425-66727</f>
        <v>2384698</v>
      </c>
      <c r="F84" s="55">
        <f>2556836-69596</f>
        <v>2487240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36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2.15" customHeight="1" x14ac:dyDescent="0.2">
      <c r="A85" s="140" t="s">
        <v>303</v>
      </c>
      <c r="B85" s="16" t="s">
        <v>6</v>
      </c>
      <c r="C85" s="66" t="s">
        <v>308</v>
      </c>
      <c r="D85" s="55">
        <f t="shared" ref="D85:F85" si="28">+D86</f>
        <v>3453020</v>
      </c>
      <c r="E85" s="55">
        <f t="shared" si="28"/>
        <v>2811140</v>
      </c>
      <c r="F85" s="55">
        <f t="shared" si="28"/>
        <v>2932019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36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94.15" customHeight="1" x14ac:dyDescent="0.2">
      <c r="A86" s="140" t="s">
        <v>345</v>
      </c>
      <c r="B86" s="16" t="s">
        <v>78</v>
      </c>
      <c r="C86" s="66" t="s">
        <v>309</v>
      </c>
      <c r="D86" s="55">
        <f>2391394+311626+750000</f>
        <v>3453020</v>
      </c>
      <c r="E86" s="55">
        <f>2494224+316916</f>
        <v>2811140</v>
      </c>
      <c r="F86" s="55">
        <f>2601475+330544</f>
        <v>2932019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36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27" customHeight="1" x14ac:dyDescent="0.25">
      <c r="A87" s="129" t="s">
        <v>115</v>
      </c>
      <c r="B87" s="16" t="s">
        <v>6</v>
      </c>
      <c r="C87" s="17" t="s">
        <v>116</v>
      </c>
      <c r="D87" s="55">
        <f>+D88+D93</f>
        <v>18951506</v>
      </c>
      <c r="E87" s="55">
        <f>+E88+E93</f>
        <v>20245246</v>
      </c>
      <c r="F87" s="55">
        <f>+F88+F93</f>
        <v>21036275.600000001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36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6"/>
      <c r="AS87" s="6"/>
      <c r="AT87" s="3"/>
      <c r="AU87" s="3"/>
      <c r="AV87" s="3"/>
      <c r="AW87" s="3"/>
      <c r="BM87" s="3"/>
      <c r="BN87" s="3"/>
    </row>
    <row r="88" spans="1:66" s="4" customFormat="1" ht="15.6" customHeight="1" x14ac:dyDescent="0.25">
      <c r="A88" s="140" t="s">
        <v>117</v>
      </c>
      <c r="B88" s="16" t="s">
        <v>6</v>
      </c>
      <c r="C88" s="17" t="s">
        <v>118</v>
      </c>
      <c r="D88" s="157">
        <f>+D89+D90+D91</f>
        <v>18482000</v>
      </c>
      <c r="E88" s="157">
        <f t="shared" ref="E88:F88" si="29">+E89+E90+E91</f>
        <v>19775740</v>
      </c>
      <c r="F88" s="157">
        <f t="shared" si="29"/>
        <v>20566769.600000001</v>
      </c>
      <c r="G88" s="3"/>
      <c r="H88" s="3"/>
      <c r="I88" s="3"/>
      <c r="J88" s="3"/>
      <c r="K88" s="3"/>
      <c r="L88" s="184"/>
      <c r="M88" s="3"/>
      <c r="N88" s="3"/>
      <c r="O88" s="3"/>
      <c r="P88" s="3"/>
      <c r="Q88" s="3"/>
      <c r="R88" s="3"/>
      <c r="S88" s="3"/>
      <c r="T88" s="3"/>
      <c r="U88" s="3"/>
      <c r="V88" s="136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85"/>
      <c r="AN88" s="3"/>
      <c r="AO88" s="3"/>
      <c r="AP88" s="3"/>
      <c r="AQ88" s="3"/>
      <c r="AR88" s="184"/>
      <c r="AS88" s="6"/>
      <c r="AT88" s="3"/>
      <c r="AU88" s="3"/>
      <c r="AV88" s="3"/>
      <c r="AW88" s="3"/>
      <c r="BM88" s="3"/>
      <c r="BN88" s="3"/>
    </row>
    <row r="89" spans="1:66" s="4" customFormat="1" ht="28.15" customHeight="1" x14ac:dyDescent="0.25">
      <c r="A89" s="140" t="s">
        <v>346</v>
      </c>
      <c r="B89" s="16" t="s">
        <v>119</v>
      </c>
      <c r="C89" s="17" t="s">
        <v>120</v>
      </c>
      <c r="D89" s="55">
        <f>2689692.87-184692.87</f>
        <v>2505000</v>
      </c>
      <c r="E89" s="55">
        <f>2797280.59-116930.59</f>
        <v>2680350</v>
      </c>
      <c r="F89" s="55">
        <f>2909171.81-121607.81</f>
        <v>2787564</v>
      </c>
      <c r="G89" s="3"/>
      <c r="H89" s="25"/>
      <c r="I89" s="25"/>
      <c r="J89" s="25"/>
      <c r="K89" s="25"/>
      <c r="L89" s="184"/>
      <c r="M89" s="3"/>
      <c r="N89" s="3"/>
      <c r="O89" s="3"/>
      <c r="P89" s="3"/>
      <c r="Q89" s="3"/>
      <c r="R89" s="3"/>
      <c r="S89" s="3"/>
      <c r="T89" s="3"/>
      <c r="U89" s="3"/>
      <c r="V89" s="136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85"/>
      <c r="AN89" s="25"/>
      <c r="AO89" s="25"/>
      <c r="AP89" s="25"/>
      <c r="AQ89" s="25"/>
      <c r="AR89" s="184"/>
      <c r="AS89" s="6"/>
      <c r="AT89" s="3"/>
      <c r="AU89" s="3"/>
      <c r="AV89" s="3"/>
      <c r="AW89" s="3"/>
      <c r="BM89" s="57"/>
      <c r="BN89" s="3"/>
    </row>
    <row r="90" spans="1:66" s="4" customFormat="1" ht="15.6" customHeight="1" x14ac:dyDescent="0.25">
      <c r="A90" s="140" t="s">
        <v>121</v>
      </c>
      <c r="B90" s="16" t="s">
        <v>119</v>
      </c>
      <c r="C90" s="17" t="s">
        <v>122</v>
      </c>
      <c r="D90" s="55">
        <f>27893667.63-12968667.63</f>
        <v>14924999.999999998</v>
      </c>
      <c r="E90" s="55">
        <f>29009414.34-13039664.34</f>
        <v>15969750</v>
      </c>
      <c r="F90" s="55">
        <f>30169790.91-13561250.91</f>
        <v>16608540</v>
      </c>
      <c r="G90" s="3"/>
      <c r="H90" s="25"/>
      <c r="I90" s="25"/>
      <c r="J90" s="25"/>
      <c r="K90" s="25"/>
      <c r="L90" s="184"/>
      <c r="M90" s="3"/>
      <c r="N90" s="3"/>
      <c r="O90" s="3"/>
      <c r="P90" s="3"/>
      <c r="Q90" s="3"/>
      <c r="R90" s="3"/>
      <c r="S90" s="3"/>
      <c r="T90" s="3"/>
      <c r="U90" s="3"/>
      <c r="V90" s="136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85"/>
      <c r="AN90" s="25"/>
      <c r="AO90" s="25"/>
      <c r="AP90" s="25"/>
      <c r="AQ90" s="25"/>
      <c r="AR90" s="184"/>
      <c r="AS90" s="6"/>
      <c r="AT90" s="3"/>
      <c r="AU90" s="3"/>
      <c r="AV90" s="3"/>
      <c r="AW90" s="3"/>
      <c r="BM90" s="57"/>
      <c r="BN90" s="3"/>
    </row>
    <row r="91" spans="1:66" s="4" customFormat="1" ht="17.45" customHeight="1" x14ac:dyDescent="0.25">
      <c r="A91" s="140" t="s">
        <v>123</v>
      </c>
      <c r="B91" s="16" t="s">
        <v>6</v>
      </c>
      <c r="C91" s="17" t="s">
        <v>124</v>
      </c>
      <c r="D91" s="55">
        <f>+D92</f>
        <v>1052000</v>
      </c>
      <c r="E91" s="55">
        <f t="shared" ref="E91:F91" si="30">+E92</f>
        <v>1125640</v>
      </c>
      <c r="F91" s="55">
        <f t="shared" si="30"/>
        <v>1170665.6000000001</v>
      </c>
      <c r="G91" s="3"/>
      <c r="H91" s="25"/>
      <c r="I91" s="25"/>
      <c r="J91" s="25"/>
      <c r="K91" s="25"/>
      <c r="L91" s="184"/>
      <c r="M91" s="3"/>
      <c r="N91" s="3"/>
      <c r="O91" s="3"/>
      <c r="P91" s="3"/>
      <c r="Q91" s="3"/>
      <c r="R91" s="3"/>
      <c r="S91" s="3"/>
      <c r="T91" s="3"/>
      <c r="U91" s="3"/>
      <c r="V91" s="136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85"/>
      <c r="AN91" s="25"/>
      <c r="AO91" s="25"/>
      <c r="AP91" s="25"/>
      <c r="AQ91" s="25"/>
      <c r="AR91" s="184"/>
      <c r="AS91" s="6"/>
      <c r="AT91" s="3"/>
      <c r="AU91" s="3"/>
      <c r="AV91" s="3"/>
      <c r="AW91" s="3"/>
      <c r="BM91" s="3"/>
      <c r="BN91" s="3"/>
    </row>
    <row r="92" spans="1:66" s="4" customFormat="1" ht="16.899999999999999" customHeight="1" x14ac:dyDescent="0.25">
      <c r="A92" s="140" t="s">
        <v>125</v>
      </c>
      <c r="B92" s="16" t="s">
        <v>119</v>
      </c>
      <c r="C92" s="17" t="s">
        <v>126</v>
      </c>
      <c r="D92" s="55">
        <f>3344000-2292000</f>
        <v>1052000</v>
      </c>
      <c r="E92" s="55">
        <f>3477760-2352120</f>
        <v>1125640</v>
      </c>
      <c r="F92" s="55">
        <f>3616870.4-2446204.8</f>
        <v>1170665.6000000001</v>
      </c>
      <c r="G92" s="3"/>
      <c r="H92" s="25"/>
      <c r="I92" s="25"/>
      <c r="J92" s="25"/>
      <c r="K92" s="25"/>
      <c r="L92" s="184"/>
      <c r="M92" s="3"/>
      <c r="N92" s="3"/>
      <c r="O92" s="3"/>
      <c r="P92" s="3"/>
      <c r="Q92" s="3"/>
      <c r="R92" s="3"/>
      <c r="S92" s="3"/>
      <c r="T92" s="3"/>
      <c r="U92" s="3"/>
      <c r="V92" s="136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85"/>
      <c r="AN92" s="25"/>
      <c r="AO92" s="25"/>
      <c r="AP92" s="25"/>
      <c r="AQ92" s="25"/>
      <c r="AR92" s="184"/>
      <c r="AS92" s="6"/>
      <c r="AT92" s="3"/>
      <c r="AU92" s="3"/>
      <c r="AV92" s="3"/>
      <c r="AW92" s="3"/>
      <c r="BM92" s="57"/>
      <c r="BN92" s="3"/>
    </row>
    <row r="93" spans="1:66" s="4" customFormat="1" ht="18" customHeight="1" x14ac:dyDescent="0.25">
      <c r="A93" s="140" t="s">
        <v>127</v>
      </c>
      <c r="B93" s="16" t="s">
        <v>6</v>
      </c>
      <c r="C93" s="17" t="s">
        <v>128</v>
      </c>
      <c r="D93" s="55">
        <f t="shared" ref="D93:F94" si="31">+D94</f>
        <v>469506</v>
      </c>
      <c r="E93" s="55">
        <f t="shared" si="31"/>
        <v>469506</v>
      </c>
      <c r="F93" s="55">
        <f t="shared" si="31"/>
        <v>469506</v>
      </c>
      <c r="G93" s="3"/>
      <c r="H93" s="25"/>
      <c r="I93" s="25"/>
      <c r="J93" s="25"/>
      <c r="K93" s="25"/>
      <c r="L93" s="184"/>
      <c r="M93" s="3"/>
      <c r="N93" s="3"/>
      <c r="O93" s="3"/>
      <c r="P93" s="3"/>
      <c r="Q93" s="3"/>
      <c r="R93" s="3"/>
      <c r="S93" s="3"/>
      <c r="T93" s="3"/>
      <c r="U93" s="3"/>
      <c r="V93" s="136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25"/>
      <c r="AO93" s="25"/>
      <c r="AP93" s="25"/>
      <c r="AQ93" s="25"/>
      <c r="AR93" s="184"/>
      <c r="AS93" s="6"/>
      <c r="AT93" s="3"/>
      <c r="AU93" s="3"/>
      <c r="AV93" s="3"/>
      <c r="AW93" s="3"/>
      <c r="BM93" s="3"/>
      <c r="BN93" s="3"/>
    </row>
    <row r="94" spans="1:66" s="4" customFormat="1" ht="30" customHeight="1" x14ac:dyDescent="0.25">
      <c r="A94" s="140" t="s">
        <v>129</v>
      </c>
      <c r="B94" s="16" t="s">
        <v>6</v>
      </c>
      <c r="C94" s="17" t="s">
        <v>130</v>
      </c>
      <c r="D94" s="55">
        <f t="shared" si="31"/>
        <v>469506</v>
      </c>
      <c r="E94" s="55">
        <f t="shared" si="31"/>
        <v>469506</v>
      </c>
      <c r="F94" s="55">
        <f t="shared" si="31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36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44.45" customHeight="1" x14ac:dyDescent="0.25">
      <c r="A95" s="140" t="s">
        <v>131</v>
      </c>
      <c r="B95" s="16" t="s">
        <v>78</v>
      </c>
      <c r="C95" s="17" t="s">
        <v>132</v>
      </c>
      <c r="D95" s="55">
        <v>469506</v>
      </c>
      <c r="E95" s="55">
        <v>469506</v>
      </c>
      <c r="F95" s="55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36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23" customFormat="1" ht="28.15" customHeight="1" x14ac:dyDescent="0.2">
      <c r="A96" s="140" t="s">
        <v>133</v>
      </c>
      <c r="B96" s="16" t="s">
        <v>6</v>
      </c>
      <c r="C96" s="17" t="s">
        <v>134</v>
      </c>
      <c r="D96" s="55">
        <f>+D101+D97</f>
        <v>97059202.49000001</v>
      </c>
      <c r="E96" s="55">
        <f t="shared" ref="E96:F96" si="32">+E101+E97</f>
        <v>1772188</v>
      </c>
      <c r="F96" s="55">
        <f t="shared" si="32"/>
        <v>1775421</v>
      </c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3"/>
      <c r="U96" s="3"/>
      <c r="V96" s="136"/>
      <c r="W96" s="3"/>
      <c r="X96" s="3"/>
      <c r="Y96" s="22"/>
      <c r="Z96" s="22"/>
      <c r="AC96" s="21"/>
      <c r="AD96" s="21"/>
      <c r="AE96" s="21"/>
      <c r="AF96" s="21"/>
      <c r="AG96" s="21"/>
      <c r="AH96" s="21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BM96" s="22"/>
      <c r="BN96" s="22"/>
    </row>
    <row r="97" spans="1:66" s="4" customFormat="1" ht="15.6" customHeight="1" x14ac:dyDescent="0.25">
      <c r="A97" s="140" t="s">
        <v>135</v>
      </c>
      <c r="B97" s="16" t="s">
        <v>6</v>
      </c>
      <c r="C97" s="17" t="s">
        <v>136</v>
      </c>
      <c r="D97" s="55">
        <f t="shared" ref="D97:F98" si="33">+D98</f>
        <v>38000</v>
      </c>
      <c r="E97" s="55">
        <f t="shared" si="33"/>
        <v>75188</v>
      </c>
      <c r="F97" s="55">
        <f t="shared" si="33"/>
        <v>78421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36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15" customHeight="1" x14ac:dyDescent="0.25">
      <c r="A98" s="140" t="s">
        <v>137</v>
      </c>
      <c r="B98" s="16" t="s">
        <v>6</v>
      </c>
      <c r="C98" s="17" t="s">
        <v>138</v>
      </c>
      <c r="D98" s="55">
        <f t="shared" si="33"/>
        <v>38000</v>
      </c>
      <c r="E98" s="55">
        <f t="shared" si="33"/>
        <v>75188</v>
      </c>
      <c r="F98" s="55">
        <f t="shared" si="33"/>
        <v>78421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36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29.45" customHeight="1" x14ac:dyDescent="0.25">
      <c r="A99" s="140" t="s">
        <v>139</v>
      </c>
      <c r="B99" s="16" t="s">
        <v>6</v>
      </c>
      <c r="C99" s="66" t="s">
        <v>140</v>
      </c>
      <c r="D99" s="55">
        <f>SUM(D100:D100)</f>
        <v>38000</v>
      </c>
      <c r="E99" s="55">
        <f>SUM(E100:E100)</f>
        <v>75188</v>
      </c>
      <c r="F99" s="55">
        <f>SUM(F100:F100)</f>
        <v>78421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36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70.900000000000006" customHeight="1" x14ac:dyDescent="0.2">
      <c r="A100" s="169" t="s">
        <v>481</v>
      </c>
      <c r="B100" s="16" t="s">
        <v>78</v>
      </c>
      <c r="C100" s="66" t="s">
        <v>141</v>
      </c>
      <c r="D100" s="55">
        <f>74106-1810-34296</f>
        <v>38000</v>
      </c>
      <c r="E100" s="55">
        <v>75188</v>
      </c>
      <c r="F100" s="55">
        <v>78421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36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BM100" s="3"/>
      <c r="BN100" s="3"/>
    </row>
    <row r="101" spans="1:66" s="4" customFormat="1" ht="15.6" customHeight="1" x14ac:dyDescent="0.25">
      <c r="A101" s="140" t="s">
        <v>142</v>
      </c>
      <c r="B101" s="16" t="s">
        <v>6</v>
      </c>
      <c r="C101" s="17" t="s">
        <v>143</v>
      </c>
      <c r="D101" s="55">
        <f t="shared" ref="D101:F102" si="34">+D102</f>
        <v>97021202.49000001</v>
      </c>
      <c r="E101" s="55">
        <f t="shared" si="34"/>
        <v>1697000</v>
      </c>
      <c r="F101" s="55">
        <f t="shared" si="34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36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15" customHeight="1" x14ac:dyDescent="0.25">
      <c r="A102" s="140" t="s">
        <v>144</v>
      </c>
      <c r="B102" s="16" t="s">
        <v>6</v>
      </c>
      <c r="C102" s="17" t="s">
        <v>145</v>
      </c>
      <c r="D102" s="55">
        <f>+D103</f>
        <v>97021202.49000001</v>
      </c>
      <c r="E102" s="55">
        <f t="shared" si="34"/>
        <v>1697000</v>
      </c>
      <c r="F102" s="55">
        <f t="shared" si="34"/>
        <v>1697000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36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8.15" customHeight="1" x14ac:dyDescent="0.25">
      <c r="A103" s="140" t="s">
        <v>146</v>
      </c>
      <c r="B103" s="16" t="s">
        <v>6</v>
      </c>
      <c r="C103" s="17" t="s">
        <v>147</v>
      </c>
      <c r="D103" s="55">
        <f>+D111+D112+D110+D107+D106+D109+D108+D105+D104</f>
        <v>97021202.49000001</v>
      </c>
      <c r="E103" s="55">
        <f t="shared" ref="E103:F103" si="35">+E111+E112+E110+E107+E106+E109+E108+E105+E104</f>
        <v>1697000</v>
      </c>
      <c r="F103" s="55">
        <f t="shared" si="35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36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8.15" customHeight="1" x14ac:dyDescent="0.25">
      <c r="A104" s="129" t="s">
        <v>146</v>
      </c>
      <c r="B104" s="16" t="s">
        <v>256</v>
      </c>
      <c r="C104" s="17" t="s">
        <v>147</v>
      </c>
      <c r="D104" s="55">
        <v>5000</v>
      </c>
      <c r="E104" s="55">
        <v>0</v>
      </c>
      <c r="F104" s="55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36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8.9" customHeight="1" x14ac:dyDescent="0.25">
      <c r="A105" s="129" t="s">
        <v>146</v>
      </c>
      <c r="B105" s="16" t="s">
        <v>78</v>
      </c>
      <c r="C105" s="17" t="s">
        <v>147</v>
      </c>
      <c r="D105" s="69">
        <f>5324+18857</f>
        <v>24181</v>
      </c>
      <c r="E105" s="55">
        <v>0</v>
      </c>
      <c r="F105" s="5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36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9.45" customHeight="1" x14ac:dyDescent="0.25">
      <c r="A106" s="129" t="s">
        <v>146</v>
      </c>
      <c r="B106" s="16" t="s">
        <v>249</v>
      </c>
      <c r="C106" s="17" t="s">
        <v>147</v>
      </c>
      <c r="D106" s="69">
        <v>77012.479999999996</v>
      </c>
      <c r="E106" s="55">
        <v>0</v>
      </c>
      <c r="F106" s="55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36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8.9" customHeight="1" x14ac:dyDescent="0.25">
      <c r="A107" s="129" t="s">
        <v>146</v>
      </c>
      <c r="B107" s="16" t="s">
        <v>271</v>
      </c>
      <c r="C107" s="17" t="s">
        <v>147</v>
      </c>
      <c r="D107" s="69">
        <v>80302.95</v>
      </c>
      <c r="E107" s="55">
        <v>0</v>
      </c>
      <c r="F107" s="55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36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5" customHeight="1" x14ac:dyDescent="0.25">
      <c r="A108" s="129" t="s">
        <v>146</v>
      </c>
      <c r="B108" s="16" t="s">
        <v>212</v>
      </c>
      <c r="C108" s="17" t="s">
        <v>147</v>
      </c>
      <c r="D108" s="102">
        <f>74.07+366408.21</f>
        <v>366482.28</v>
      </c>
      <c r="E108" s="55">
        <v>0</v>
      </c>
      <c r="F108" s="55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36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30" customHeight="1" x14ac:dyDescent="0.25">
      <c r="A109" s="129" t="s">
        <v>146</v>
      </c>
      <c r="B109" s="16" t="s">
        <v>460</v>
      </c>
      <c r="C109" s="17" t="s">
        <v>147</v>
      </c>
      <c r="D109" s="69">
        <v>525.97</v>
      </c>
      <c r="E109" s="55">
        <v>0</v>
      </c>
      <c r="F109" s="55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36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28.15" customHeight="1" x14ac:dyDescent="0.2">
      <c r="A110" s="169" t="s">
        <v>376</v>
      </c>
      <c r="B110" s="16" t="s">
        <v>80</v>
      </c>
      <c r="C110" s="17" t="s">
        <v>147</v>
      </c>
      <c r="D110" s="55">
        <f>3390428.13+2906.5+350867.28</f>
        <v>3744201.91</v>
      </c>
      <c r="E110" s="55">
        <v>0</v>
      </c>
      <c r="F110" s="55"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36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BM110" s="3"/>
      <c r="BN110" s="3"/>
    </row>
    <row r="111" spans="1:66" s="4" customFormat="1" ht="40.15" customHeight="1" x14ac:dyDescent="0.2">
      <c r="A111" s="129" t="s">
        <v>148</v>
      </c>
      <c r="B111" s="16" t="s">
        <v>80</v>
      </c>
      <c r="C111" s="17" t="s">
        <v>149</v>
      </c>
      <c r="D111" s="55">
        <f>787000+89135196+1891299.9</f>
        <v>91813495.900000006</v>
      </c>
      <c r="E111" s="55">
        <v>787000</v>
      </c>
      <c r="F111" s="55">
        <v>787000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36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BM111" s="3"/>
      <c r="BN111" s="3"/>
    </row>
    <row r="112" spans="1:66" s="4" customFormat="1" ht="27.6" customHeight="1" x14ac:dyDescent="0.2">
      <c r="A112" s="169" t="s">
        <v>150</v>
      </c>
      <c r="B112" s="16" t="s">
        <v>80</v>
      </c>
      <c r="C112" s="17" t="s">
        <v>151</v>
      </c>
      <c r="D112" s="55">
        <v>910000</v>
      </c>
      <c r="E112" s="55">
        <v>910000</v>
      </c>
      <c r="F112" s="55">
        <v>910000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36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BM112" s="3"/>
      <c r="BN112" s="3"/>
    </row>
    <row r="113" spans="1:66" s="23" customFormat="1" ht="28.9" customHeight="1" x14ac:dyDescent="0.2">
      <c r="A113" s="140" t="s">
        <v>152</v>
      </c>
      <c r="B113" s="16" t="s">
        <v>6</v>
      </c>
      <c r="C113" s="17" t="s">
        <v>153</v>
      </c>
      <c r="D113" s="55">
        <f>+D114+D119+D117</f>
        <v>15520537.92</v>
      </c>
      <c r="E113" s="55">
        <f>+E114+E119+E117</f>
        <v>10470744</v>
      </c>
      <c r="F113" s="55">
        <f>+F114+F119+F117</f>
        <v>10721982</v>
      </c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3"/>
      <c r="U113" s="3"/>
      <c r="V113" s="136"/>
      <c r="W113" s="3"/>
      <c r="X113" s="3"/>
      <c r="Y113" s="22"/>
      <c r="Z113" s="22"/>
      <c r="AC113" s="21"/>
      <c r="AD113" s="21"/>
      <c r="AE113" s="21"/>
      <c r="AF113" s="21"/>
      <c r="AG113" s="21"/>
      <c r="AH113" s="21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BM113" s="22"/>
      <c r="BN113" s="22"/>
    </row>
    <row r="114" spans="1:66" s="4" customFormat="1" ht="69" customHeight="1" x14ac:dyDescent="0.25">
      <c r="A114" s="140" t="s">
        <v>154</v>
      </c>
      <c r="B114" s="32" t="s">
        <v>6</v>
      </c>
      <c r="C114" s="32" t="s">
        <v>155</v>
      </c>
      <c r="D114" s="55">
        <f t="shared" ref="D114:F115" si="36">+D115</f>
        <v>4628000</v>
      </c>
      <c r="E114" s="55">
        <f t="shared" si="36"/>
        <v>4628000</v>
      </c>
      <c r="F114" s="55">
        <f t="shared" si="36"/>
        <v>4628000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36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80.45" customHeight="1" x14ac:dyDescent="0.25">
      <c r="A115" s="140" t="s">
        <v>156</v>
      </c>
      <c r="B115" s="32" t="s">
        <v>6</v>
      </c>
      <c r="C115" s="32" t="s">
        <v>157</v>
      </c>
      <c r="D115" s="55">
        <f t="shared" si="36"/>
        <v>4628000</v>
      </c>
      <c r="E115" s="55">
        <f t="shared" si="36"/>
        <v>4628000</v>
      </c>
      <c r="F115" s="55">
        <f t="shared" si="36"/>
        <v>4628000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36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82.15" customHeight="1" x14ac:dyDescent="0.25">
      <c r="A116" s="140" t="s">
        <v>323</v>
      </c>
      <c r="B116" s="32" t="s">
        <v>78</v>
      </c>
      <c r="C116" s="32" t="s">
        <v>322</v>
      </c>
      <c r="D116" s="55">
        <v>4628000</v>
      </c>
      <c r="E116" s="55">
        <v>4628000</v>
      </c>
      <c r="F116" s="55"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36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45" customHeight="1" x14ac:dyDescent="0.25">
      <c r="A117" s="142" t="s">
        <v>490</v>
      </c>
      <c r="B117" s="32" t="s">
        <v>6</v>
      </c>
      <c r="C117" s="72" t="s">
        <v>492</v>
      </c>
      <c r="D117" s="55">
        <f>+D118</f>
        <v>755637.92</v>
      </c>
      <c r="E117" s="55">
        <f t="shared" ref="E117:F117" si="37">+E118</f>
        <v>0</v>
      </c>
      <c r="F117" s="55">
        <f t="shared" si="37"/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36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45.6" customHeight="1" x14ac:dyDescent="0.25">
      <c r="A118" s="142" t="s">
        <v>491</v>
      </c>
      <c r="B118" s="32" t="s">
        <v>80</v>
      </c>
      <c r="C118" s="72" t="s">
        <v>546</v>
      </c>
      <c r="D118" s="55">
        <v>755637.92</v>
      </c>
      <c r="E118" s="55">
        <v>0</v>
      </c>
      <c r="F118" s="55">
        <v>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36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8.9" customHeight="1" x14ac:dyDescent="0.25">
      <c r="A119" s="140" t="s">
        <v>158</v>
      </c>
      <c r="B119" s="32" t="s">
        <v>6</v>
      </c>
      <c r="C119" s="71" t="s">
        <v>159</v>
      </c>
      <c r="D119" s="55">
        <f>+D120+D122</f>
        <v>10136900</v>
      </c>
      <c r="E119" s="55">
        <f>+E120+E122</f>
        <v>5842744</v>
      </c>
      <c r="F119" s="55">
        <f>+F120+F122</f>
        <v>6093982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36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29.45" customHeight="1" x14ac:dyDescent="0.25">
      <c r="A120" s="140" t="s">
        <v>160</v>
      </c>
      <c r="B120" s="32" t="s">
        <v>6</v>
      </c>
      <c r="C120" s="71" t="s">
        <v>161</v>
      </c>
      <c r="D120" s="55">
        <f>+D121</f>
        <v>7546900</v>
      </c>
      <c r="E120" s="55">
        <f>+E121</f>
        <v>3375725</v>
      </c>
      <c r="F120" s="55">
        <f>+F121</f>
        <v>3520881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36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43.15" customHeight="1" x14ac:dyDescent="0.25">
      <c r="A121" s="140" t="s">
        <v>162</v>
      </c>
      <c r="B121" s="32" t="s">
        <v>78</v>
      </c>
      <c r="C121" s="71" t="s">
        <v>163</v>
      </c>
      <c r="D121" s="55">
        <f>3245890+1500000+2010000+791010</f>
        <v>7546900</v>
      </c>
      <c r="E121" s="55">
        <v>3375725</v>
      </c>
      <c r="F121" s="55">
        <v>3520881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3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40.9" customHeight="1" x14ac:dyDescent="0.25">
      <c r="A122" s="140" t="s">
        <v>164</v>
      </c>
      <c r="B122" s="32" t="s">
        <v>6</v>
      </c>
      <c r="C122" s="71" t="s">
        <v>165</v>
      </c>
      <c r="D122" s="55">
        <f>+D123</f>
        <v>2590000</v>
      </c>
      <c r="E122" s="55">
        <f>+E123</f>
        <v>2467019</v>
      </c>
      <c r="F122" s="55">
        <f>+F123</f>
        <v>2573101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36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42.6" customHeight="1" x14ac:dyDescent="0.25">
      <c r="A123" s="140" t="s">
        <v>166</v>
      </c>
      <c r="B123" s="32" t="s">
        <v>78</v>
      </c>
      <c r="C123" s="71" t="s">
        <v>167</v>
      </c>
      <c r="D123" s="55">
        <f>2407672+182328</f>
        <v>2590000</v>
      </c>
      <c r="E123" s="55">
        <v>2467019</v>
      </c>
      <c r="F123" s="55">
        <v>2573101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36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ht="13.15" customHeight="1" x14ac:dyDescent="0.25">
      <c r="A124" s="140" t="s">
        <v>168</v>
      </c>
      <c r="B124" s="16" t="s">
        <v>6</v>
      </c>
      <c r="C124" s="17" t="s">
        <v>169</v>
      </c>
      <c r="D124" s="55">
        <f>+D125+D159+D161+D182+D171+D185</f>
        <v>12956558.439999999</v>
      </c>
      <c r="E124" s="55">
        <f>+E125+E159+E161+E182+E171</f>
        <v>13650504</v>
      </c>
      <c r="F124" s="55">
        <f>+F125+F159+F161+F182+F171</f>
        <v>14014395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36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4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30" customHeight="1" x14ac:dyDescent="0.25">
      <c r="A125" s="140" t="s">
        <v>170</v>
      </c>
      <c r="B125" s="16" t="s">
        <v>6</v>
      </c>
      <c r="C125" s="17" t="s">
        <v>171</v>
      </c>
      <c r="D125" s="55">
        <f>+D126+D129+D132+D147+D153+D156+D135+D145+D151+D149+D137+D139+D141+D143</f>
        <v>4645081.01</v>
      </c>
      <c r="E125" s="55">
        <f t="shared" ref="E125:F125" si="38">+E126+E129+E132+E147+E153+E156+E135+E145+E151</f>
        <v>4481240</v>
      </c>
      <c r="F125" s="55">
        <f t="shared" si="38"/>
        <v>4485820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36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6"/>
      <c r="AS125" s="6"/>
      <c r="AT125" s="3"/>
      <c r="AU125" s="3"/>
      <c r="AV125" s="3"/>
      <c r="AW125" s="3"/>
      <c r="BM125" s="3"/>
      <c r="BN125" s="3"/>
    </row>
    <row r="126" spans="1:66" s="4" customFormat="1" ht="44.45" customHeight="1" x14ac:dyDescent="0.2">
      <c r="A126" s="140" t="s">
        <v>172</v>
      </c>
      <c r="B126" s="16" t="s">
        <v>6</v>
      </c>
      <c r="C126" s="66" t="s">
        <v>173</v>
      </c>
      <c r="D126" s="55">
        <f>+D127+D128</f>
        <v>32490</v>
      </c>
      <c r="E126" s="55">
        <f t="shared" ref="E126:F126" si="39">+E127+E128</f>
        <v>33280</v>
      </c>
      <c r="F126" s="55">
        <f t="shared" si="39"/>
        <v>34100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36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68.45" customHeight="1" x14ac:dyDescent="0.2">
      <c r="A127" s="140" t="s">
        <v>174</v>
      </c>
      <c r="B127" s="16" t="s">
        <v>175</v>
      </c>
      <c r="C127" s="66" t="s">
        <v>176</v>
      </c>
      <c r="D127" s="55">
        <v>19730</v>
      </c>
      <c r="E127" s="55">
        <v>20520</v>
      </c>
      <c r="F127" s="55">
        <v>21340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36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68.45" customHeight="1" x14ac:dyDescent="0.2">
      <c r="A128" s="140" t="s">
        <v>174</v>
      </c>
      <c r="B128" s="16" t="s">
        <v>177</v>
      </c>
      <c r="C128" s="66" t="s">
        <v>176</v>
      </c>
      <c r="D128" s="55">
        <v>12760</v>
      </c>
      <c r="E128" s="55">
        <v>12760</v>
      </c>
      <c r="F128" s="55">
        <v>12760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36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69" customHeight="1" x14ac:dyDescent="0.2">
      <c r="A129" s="140" t="s">
        <v>178</v>
      </c>
      <c r="B129" s="16" t="s">
        <v>6</v>
      </c>
      <c r="C129" s="66" t="s">
        <v>179</v>
      </c>
      <c r="D129" s="55">
        <f>+D130+D131</f>
        <v>505000</v>
      </c>
      <c r="E129" s="55">
        <f t="shared" ref="E129:F129" si="40">+E130+E131</f>
        <v>505660</v>
      </c>
      <c r="F129" s="55">
        <f t="shared" si="40"/>
        <v>506340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36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80.45" customHeight="1" x14ac:dyDescent="0.2">
      <c r="A130" s="140" t="s">
        <v>180</v>
      </c>
      <c r="B130" s="16" t="s">
        <v>175</v>
      </c>
      <c r="C130" s="66" t="s">
        <v>181</v>
      </c>
      <c r="D130" s="55">
        <v>16380</v>
      </c>
      <c r="E130" s="55">
        <v>17040</v>
      </c>
      <c r="F130" s="55">
        <v>17720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36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83.45" customHeight="1" x14ac:dyDescent="0.2">
      <c r="A131" s="140" t="s">
        <v>180</v>
      </c>
      <c r="B131" s="16" t="s">
        <v>177</v>
      </c>
      <c r="C131" s="66" t="s">
        <v>181</v>
      </c>
      <c r="D131" s="55">
        <v>488620</v>
      </c>
      <c r="E131" s="55">
        <v>488620</v>
      </c>
      <c r="F131" s="55">
        <v>488620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36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55.15" customHeight="1" x14ac:dyDescent="0.2">
      <c r="A132" s="140" t="s">
        <v>182</v>
      </c>
      <c r="B132" s="16" t="s">
        <v>6</v>
      </c>
      <c r="C132" s="66" t="s">
        <v>183</v>
      </c>
      <c r="D132" s="55">
        <f>+D134+D133</f>
        <v>163601.93</v>
      </c>
      <c r="E132" s="55">
        <f t="shared" ref="E132:F132" si="41">+E134+E133</f>
        <v>22140</v>
      </c>
      <c r="F132" s="55">
        <f t="shared" si="41"/>
        <v>22240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36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70.900000000000006" customHeight="1" x14ac:dyDescent="0.2">
      <c r="A133" s="140" t="s">
        <v>184</v>
      </c>
      <c r="B133" s="16" t="s">
        <v>175</v>
      </c>
      <c r="C133" s="66" t="s">
        <v>185</v>
      </c>
      <c r="D133" s="55">
        <v>2350</v>
      </c>
      <c r="E133" s="55">
        <v>2450</v>
      </c>
      <c r="F133" s="55">
        <v>2550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36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69" customHeight="1" x14ac:dyDescent="0.2">
      <c r="A134" s="140" t="s">
        <v>184</v>
      </c>
      <c r="B134" s="16" t="s">
        <v>177</v>
      </c>
      <c r="C134" s="66" t="s">
        <v>185</v>
      </c>
      <c r="D134" s="55">
        <f>19690+141561.93</f>
        <v>161251.93</v>
      </c>
      <c r="E134" s="55">
        <v>19690</v>
      </c>
      <c r="F134" s="55">
        <v>19690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36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5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58.15" customHeight="1" x14ac:dyDescent="0.2">
      <c r="A135" s="140" t="s">
        <v>186</v>
      </c>
      <c r="B135" s="16" t="s">
        <v>6</v>
      </c>
      <c r="C135" s="66" t="s">
        <v>187</v>
      </c>
      <c r="D135" s="55">
        <f t="shared" ref="D135:F135" si="42">+D136</f>
        <v>273350</v>
      </c>
      <c r="E135" s="55">
        <f t="shared" si="42"/>
        <v>273350</v>
      </c>
      <c r="F135" s="55">
        <f t="shared" si="42"/>
        <v>273350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36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71.45" customHeight="1" x14ac:dyDescent="0.2">
      <c r="A136" s="140" t="s">
        <v>188</v>
      </c>
      <c r="B136" s="16" t="s">
        <v>177</v>
      </c>
      <c r="C136" s="66" t="s">
        <v>189</v>
      </c>
      <c r="D136" s="55">
        <v>273350</v>
      </c>
      <c r="E136" s="55">
        <v>273350</v>
      </c>
      <c r="F136" s="55">
        <v>273350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36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1.6" customHeight="1" x14ac:dyDescent="0.2">
      <c r="A137" s="140" t="s">
        <v>505</v>
      </c>
      <c r="B137" s="16" t="s">
        <v>6</v>
      </c>
      <c r="C137" s="66" t="s">
        <v>547</v>
      </c>
      <c r="D137" s="55">
        <f>D138</f>
        <v>750</v>
      </c>
      <c r="E137" s="55">
        <f t="shared" ref="E137:F137" si="43">E138</f>
        <v>0</v>
      </c>
      <c r="F137" s="55">
        <f t="shared" si="43"/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36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2.15" customHeight="1" x14ac:dyDescent="0.2">
      <c r="A138" s="140" t="s">
        <v>505</v>
      </c>
      <c r="B138" s="16" t="s">
        <v>177</v>
      </c>
      <c r="C138" s="66" t="s">
        <v>548</v>
      </c>
      <c r="D138" s="55">
        <v>750</v>
      </c>
      <c r="E138" s="55">
        <v>0</v>
      </c>
      <c r="F138" s="55">
        <v>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36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.6" customHeight="1" x14ac:dyDescent="0.2">
      <c r="A139" s="139" t="s">
        <v>506</v>
      </c>
      <c r="B139" s="16" t="s">
        <v>6</v>
      </c>
      <c r="C139" s="72" t="s">
        <v>507</v>
      </c>
      <c r="D139" s="55">
        <f>+D140</f>
        <v>1650</v>
      </c>
      <c r="E139" s="55">
        <f t="shared" ref="E139:F139" si="44">+E140</f>
        <v>0</v>
      </c>
      <c r="F139" s="55">
        <f t="shared" si="44"/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36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71.45" customHeight="1" x14ac:dyDescent="0.2">
      <c r="A140" s="139" t="s">
        <v>508</v>
      </c>
      <c r="B140" s="16" t="s">
        <v>177</v>
      </c>
      <c r="C140" s="77" t="s">
        <v>549</v>
      </c>
      <c r="D140" s="143">
        <v>1650</v>
      </c>
      <c r="E140" s="55">
        <v>0</v>
      </c>
      <c r="F140" s="55"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36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79.900000000000006" customHeight="1" x14ac:dyDescent="0.2">
      <c r="A141" s="139" t="s">
        <v>509</v>
      </c>
      <c r="B141" s="16" t="s">
        <v>6</v>
      </c>
      <c r="C141" s="77" t="s">
        <v>510</v>
      </c>
      <c r="D141" s="143">
        <f>D142</f>
        <v>7500</v>
      </c>
      <c r="E141" s="143">
        <f t="shared" ref="E141:F141" si="45">E142</f>
        <v>0</v>
      </c>
      <c r="F141" s="143">
        <f t="shared" si="45"/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36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71.45" customHeight="1" x14ac:dyDescent="0.2">
      <c r="A142" s="139" t="s">
        <v>511</v>
      </c>
      <c r="B142" s="16" t="s">
        <v>177</v>
      </c>
      <c r="C142" s="77" t="s">
        <v>512</v>
      </c>
      <c r="D142" s="143">
        <v>7500</v>
      </c>
      <c r="E142" s="55">
        <v>0</v>
      </c>
      <c r="F142" s="55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36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43.15" customHeight="1" x14ac:dyDescent="0.2">
      <c r="A143" s="139" t="s">
        <v>513</v>
      </c>
      <c r="B143" s="16" t="s">
        <v>6</v>
      </c>
      <c r="C143" s="72" t="s">
        <v>514</v>
      </c>
      <c r="D143" s="55">
        <f>+D144</f>
        <v>15000</v>
      </c>
      <c r="E143" s="55">
        <f t="shared" ref="E143:F143" si="46">+E144</f>
        <v>0</v>
      </c>
      <c r="F143" s="55">
        <f t="shared" si="46"/>
        <v>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36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3.150000000000006" customHeight="1" x14ac:dyDescent="0.2">
      <c r="A144" s="139" t="s">
        <v>515</v>
      </c>
      <c r="B144" s="16" t="s">
        <v>177</v>
      </c>
      <c r="C144" s="77" t="s">
        <v>550</v>
      </c>
      <c r="D144" s="143">
        <v>15000</v>
      </c>
      <c r="E144" s="55">
        <v>0</v>
      </c>
      <c r="F144" s="55"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36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5" customHeight="1" x14ac:dyDescent="0.2">
      <c r="A145" s="140" t="s">
        <v>190</v>
      </c>
      <c r="B145" s="16" t="s">
        <v>6</v>
      </c>
      <c r="C145" s="66" t="s">
        <v>191</v>
      </c>
      <c r="D145" s="55">
        <f t="shared" ref="D145:F145" si="47">+D146</f>
        <v>821150</v>
      </c>
      <c r="E145" s="55">
        <f t="shared" si="47"/>
        <v>821150</v>
      </c>
      <c r="F145" s="55">
        <f t="shared" si="47"/>
        <v>821150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36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82.9" customHeight="1" x14ac:dyDescent="0.2">
      <c r="A146" s="140" t="s">
        <v>192</v>
      </c>
      <c r="B146" s="16" t="s">
        <v>177</v>
      </c>
      <c r="C146" s="66" t="s">
        <v>193</v>
      </c>
      <c r="D146" s="55">
        <v>821150</v>
      </c>
      <c r="E146" s="55">
        <v>821150</v>
      </c>
      <c r="F146" s="55">
        <v>821150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36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7.6" customHeight="1" x14ac:dyDescent="0.2">
      <c r="A147" s="140" t="s">
        <v>194</v>
      </c>
      <c r="B147" s="16" t="s">
        <v>6</v>
      </c>
      <c r="C147" s="66" t="s">
        <v>195</v>
      </c>
      <c r="D147" s="55">
        <f t="shared" ref="D147:F147" si="48">+D148</f>
        <v>45650</v>
      </c>
      <c r="E147" s="55">
        <f t="shared" si="48"/>
        <v>45650</v>
      </c>
      <c r="F147" s="55">
        <f t="shared" si="48"/>
        <v>45650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36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96" customHeight="1" x14ac:dyDescent="0.2">
      <c r="A148" s="140" t="s">
        <v>196</v>
      </c>
      <c r="B148" s="16" t="s">
        <v>177</v>
      </c>
      <c r="C148" s="66" t="s">
        <v>197</v>
      </c>
      <c r="D148" s="55">
        <v>45650</v>
      </c>
      <c r="E148" s="55">
        <v>45650</v>
      </c>
      <c r="F148" s="55">
        <v>45650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36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5.15" customHeight="1" x14ac:dyDescent="0.2">
      <c r="A149" s="142" t="s">
        <v>501</v>
      </c>
      <c r="B149" s="16" t="s">
        <v>6</v>
      </c>
      <c r="C149" s="72" t="s">
        <v>502</v>
      </c>
      <c r="D149" s="55">
        <f>+D150</f>
        <v>1799.08</v>
      </c>
      <c r="E149" s="55">
        <f t="shared" ref="E149:F149" si="49">+E150</f>
        <v>0</v>
      </c>
      <c r="F149" s="55">
        <f t="shared" si="49"/>
        <v>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36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5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67.150000000000006" customHeight="1" x14ac:dyDescent="0.2">
      <c r="A150" s="142" t="s">
        <v>503</v>
      </c>
      <c r="B150" s="16" t="s">
        <v>177</v>
      </c>
      <c r="C150" s="72" t="s">
        <v>504</v>
      </c>
      <c r="D150" s="55">
        <v>1799.08</v>
      </c>
      <c r="E150" s="55">
        <v>0</v>
      </c>
      <c r="F150" s="55">
        <v>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36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4" customHeight="1" x14ac:dyDescent="0.2">
      <c r="A151" s="140" t="s">
        <v>198</v>
      </c>
      <c r="B151" s="16" t="s">
        <v>6</v>
      </c>
      <c r="C151" s="66" t="s">
        <v>199</v>
      </c>
      <c r="D151" s="55">
        <f t="shared" ref="D151:F151" si="50">+D152</f>
        <v>10890</v>
      </c>
      <c r="E151" s="55">
        <f t="shared" si="50"/>
        <v>10890</v>
      </c>
      <c r="F151" s="55">
        <f t="shared" si="50"/>
        <v>10890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36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68.45" customHeight="1" x14ac:dyDescent="0.2">
      <c r="A152" s="140" t="s">
        <v>200</v>
      </c>
      <c r="B152" s="16" t="s">
        <v>177</v>
      </c>
      <c r="C152" s="66" t="s">
        <v>201</v>
      </c>
      <c r="D152" s="55">
        <v>10890</v>
      </c>
      <c r="E152" s="55">
        <v>10890</v>
      </c>
      <c r="F152" s="55">
        <v>10890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36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43.15" customHeight="1" x14ac:dyDescent="0.2">
      <c r="A153" s="140" t="s">
        <v>202</v>
      </c>
      <c r="B153" s="16" t="s">
        <v>6</v>
      </c>
      <c r="C153" s="66" t="s">
        <v>203</v>
      </c>
      <c r="D153" s="55">
        <f t="shared" ref="D153:F153" si="51">+D154+D155</f>
        <v>945580</v>
      </c>
      <c r="E153" s="55">
        <f t="shared" si="51"/>
        <v>946560</v>
      </c>
      <c r="F153" s="55">
        <f t="shared" si="51"/>
        <v>947580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36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72" customHeight="1" x14ac:dyDescent="0.2">
      <c r="A154" s="140" t="s">
        <v>204</v>
      </c>
      <c r="B154" s="16" t="s">
        <v>175</v>
      </c>
      <c r="C154" s="66" t="s">
        <v>205</v>
      </c>
      <c r="D154" s="55">
        <v>24550</v>
      </c>
      <c r="E154" s="55">
        <v>25530</v>
      </c>
      <c r="F154" s="55">
        <v>26550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36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5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69.599999999999994" customHeight="1" x14ac:dyDescent="0.2">
      <c r="A155" s="140" t="s">
        <v>204</v>
      </c>
      <c r="B155" s="16" t="s">
        <v>177</v>
      </c>
      <c r="C155" s="66" t="s">
        <v>205</v>
      </c>
      <c r="D155" s="55">
        <v>921030</v>
      </c>
      <c r="E155" s="55">
        <v>921030</v>
      </c>
      <c r="F155" s="55">
        <v>921030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36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55.15" customHeight="1" x14ac:dyDescent="0.2">
      <c r="A156" s="140" t="s">
        <v>206</v>
      </c>
      <c r="B156" s="16" t="s">
        <v>6</v>
      </c>
      <c r="C156" s="66" t="s">
        <v>207</v>
      </c>
      <c r="D156" s="55">
        <f t="shared" ref="D156:F156" si="52">+D157+D158</f>
        <v>1820670</v>
      </c>
      <c r="E156" s="55">
        <f t="shared" si="52"/>
        <v>1822560</v>
      </c>
      <c r="F156" s="55">
        <f t="shared" si="52"/>
        <v>1824520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36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84" customHeight="1" x14ac:dyDescent="0.2">
      <c r="A157" s="140" t="s">
        <v>208</v>
      </c>
      <c r="B157" s="16" t="s">
        <v>175</v>
      </c>
      <c r="C157" s="66" t="s">
        <v>209</v>
      </c>
      <c r="D157" s="55">
        <v>47140</v>
      </c>
      <c r="E157" s="55">
        <v>49030</v>
      </c>
      <c r="F157" s="55">
        <v>50990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36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5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81.599999999999994" customHeight="1" x14ac:dyDescent="0.2">
      <c r="A158" s="140" t="s">
        <v>208</v>
      </c>
      <c r="B158" s="16" t="s">
        <v>177</v>
      </c>
      <c r="C158" s="66" t="s">
        <v>209</v>
      </c>
      <c r="D158" s="55">
        <v>1773530</v>
      </c>
      <c r="E158" s="55">
        <v>1773530</v>
      </c>
      <c r="F158" s="55">
        <v>1773530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36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5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28.9" customHeight="1" x14ac:dyDescent="0.2">
      <c r="A159" s="140" t="s">
        <v>210</v>
      </c>
      <c r="B159" s="36" t="s">
        <v>6</v>
      </c>
      <c r="C159" s="37" t="s">
        <v>211</v>
      </c>
      <c r="D159" s="55">
        <f>+D160</f>
        <v>165000</v>
      </c>
      <c r="E159" s="55">
        <f>+E160</f>
        <v>165000</v>
      </c>
      <c r="F159" s="55">
        <f>+F160</f>
        <v>165000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36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57" customHeight="1" x14ac:dyDescent="0.2">
      <c r="A160" s="140" t="s">
        <v>330</v>
      </c>
      <c r="B160" s="36" t="s">
        <v>212</v>
      </c>
      <c r="C160" s="37" t="s">
        <v>213</v>
      </c>
      <c r="D160" s="55">
        <f>160000+5000</f>
        <v>165000</v>
      </c>
      <c r="E160" s="55">
        <f t="shared" ref="E160:F160" si="53">160000+5000</f>
        <v>165000</v>
      </c>
      <c r="F160" s="55">
        <f t="shared" si="53"/>
        <v>165000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36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138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96" customHeight="1" x14ac:dyDescent="0.2">
      <c r="A161" s="140" t="s">
        <v>214</v>
      </c>
      <c r="B161" s="16" t="s">
        <v>6</v>
      </c>
      <c r="C161" s="28" t="s">
        <v>331</v>
      </c>
      <c r="D161" s="55">
        <f>+D165+D162</f>
        <v>5338395.24</v>
      </c>
      <c r="E161" s="55">
        <f t="shared" ref="E161:F161" si="54">+E165+E162</f>
        <v>8356082</v>
      </c>
      <c r="F161" s="55">
        <f t="shared" si="54"/>
        <v>8715393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36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55.9" customHeight="1" x14ac:dyDescent="0.2">
      <c r="A162" s="140" t="s">
        <v>370</v>
      </c>
      <c r="B162" s="16" t="s">
        <v>6</v>
      </c>
      <c r="C162" s="28" t="s">
        <v>371</v>
      </c>
      <c r="D162" s="55">
        <f>+D164+D163</f>
        <v>9583.34</v>
      </c>
      <c r="E162" s="55">
        <f t="shared" ref="E162:F162" si="55">+E164+E163</f>
        <v>0</v>
      </c>
      <c r="F162" s="55">
        <f t="shared" si="55"/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36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8.45" customHeight="1" x14ac:dyDescent="0.2">
      <c r="A163" s="160" t="s">
        <v>372</v>
      </c>
      <c r="B163" s="16" t="s">
        <v>78</v>
      </c>
      <c r="C163" s="66" t="s">
        <v>373</v>
      </c>
      <c r="D163" s="55">
        <v>9432.14</v>
      </c>
      <c r="E163" s="55">
        <v>0</v>
      </c>
      <c r="F163" s="55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36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69.599999999999994" customHeight="1" x14ac:dyDescent="0.2">
      <c r="A164" s="160" t="s">
        <v>372</v>
      </c>
      <c r="B164" s="16" t="s">
        <v>80</v>
      </c>
      <c r="C164" s="66" t="s">
        <v>373</v>
      </c>
      <c r="D164" s="55">
        <v>151.19999999999999</v>
      </c>
      <c r="E164" s="55">
        <v>0</v>
      </c>
      <c r="F164" s="55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36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69" customHeight="1" x14ac:dyDescent="0.2">
      <c r="A165" s="140" t="s">
        <v>215</v>
      </c>
      <c r="B165" s="16" t="s">
        <v>6</v>
      </c>
      <c r="C165" s="17" t="s">
        <v>216</v>
      </c>
      <c r="D165" s="55">
        <f>+D167+D168+D170+D166+D169</f>
        <v>5328811.9000000004</v>
      </c>
      <c r="E165" s="55">
        <f t="shared" ref="E165:F165" si="56">+E167+E168+E170+E166</f>
        <v>8356082</v>
      </c>
      <c r="F165" s="55">
        <f t="shared" si="56"/>
        <v>8715393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36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54.6" customHeight="1" x14ac:dyDescent="0.2">
      <c r="A166" s="140" t="s">
        <v>461</v>
      </c>
      <c r="B166" s="16" t="s">
        <v>78</v>
      </c>
      <c r="C166" s="17" t="s">
        <v>464</v>
      </c>
      <c r="D166" s="55">
        <v>24504</v>
      </c>
      <c r="E166" s="55">
        <v>0</v>
      </c>
      <c r="F166" s="55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36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69.599999999999994" customHeight="1" x14ac:dyDescent="0.2">
      <c r="A167" s="140" t="s">
        <v>463</v>
      </c>
      <c r="B167" s="16" t="s">
        <v>78</v>
      </c>
      <c r="C167" s="17" t="s">
        <v>217</v>
      </c>
      <c r="D167" s="55">
        <f>384085-22908-100000</f>
        <v>261177</v>
      </c>
      <c r="E167" s="55">
        <f>399448-22740</f>
        <v>376708</v>
      </c>
      <c r="F167" s="55">
        <f>416624-23718</f>
        <v>392906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36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8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73.150000000000006" customHeight="1" x14ac:dyDescent="0.2">
      <c r="A168" s="140" t="s">
        <v>462</v>
      </c>
      <c r="B168" s="16" t="s">
        <v>78</v>
      </c>
      <c r="C168" s="17" t="s">
        <v>218</v>
      </c>
      <c r="D168" s="55">
        <f>5057659+2592748-2995150</f>
        <v>4655257</v>
      </c>
      <c r="E168" s="55">
        <f>5259966+2719408</f>
        <v>7979374</v>
      </c>
      <c r="F168" s="55">
        <f>5486145+2836342</f>
        <v>8322487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36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8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53.45" customHeight="1" x14ac:dyDescent="0.2">
      <c r="A169" s="140" t="s">
        <v>461</v>
      </c>
      <c r="B169" s="16" t="s">
        <v>212</v>
      </c>
      <c r="C169" s="17" t="s">
        <v>500</v>
      </c>
      <c r="D169" s="158">
        <v>2193.29</v>
      </c>
      <c r="E169" s="55">
        <v>0</v>
      </c>
      <c r="F169" s="55">
        <v>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36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8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58.15" customHeight="1" x14ac:dyDescent="0.2">
      <c r="A170" s="140" t="s">
        <v>461</v>
      </c>
      <c r="B170" s="16" t="s">
        <v>80</v>
      </c>
      <c r="C170" s="17" t="s">
        <v>464</v>
      </c>
      <c r="D170" s="102">
        <f>25451.96+360228.65</f>
        <v>385680.61000000004</v>
      </c>
      <c r="E170" s="55">
        <v>0</v>
      </c>
      <c r="F170" s="55"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36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8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18.600000000000001" customHeight="1" x14ac:dyDescent="0.2">
      <c r="A171" s="159" t="s">
        <v>219</v>
      </c>
      <c r="B171" s="16" t="s">
        <v>6</v>
      </c>
      <c r="C171" s="39" t="s">
        <v>220</v>
      </c>
      <c r="D171" s="55">
        <f>+D178+D172+D176</f>
        <v>161900.19</v>
      </c>
      <c r="E171" s="55">
        <f t="shared" ref="E171:F171" si="57">+E178+E172</f>
        <v>2000</v>
      </c>
      <c r="F171" s="55">
        <f t="shared" si="57"/>
        <v>2000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36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80.45" customHeight="1" x14ac:dyDescent="0.2">
      <c r="A172" s="159" t="s">
        <v>465</v>
      </c>
      <c r="B172" s="16" t="s">
        <v>6</v>
      </c>
      <c r="C172" s="39" t="s">
        <v>466</v>
      </c>
      <c r="D172" s="55">
        <f>+D173+D174+D175</f>
        <v>145402.69</v>
      </c>
      <c r="E172" s="55">
        <f t="shared" ref="E172:F172" si="58">+E173+E174+E175</f>
        <v>0</v>
      </c>
      <c r="F172" s="55">
        <f t="shared" si="58"/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36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44.45" customHeight="1" x14ac:dyDescent="0.2">
      <c r="A173" s="159" t="s">
        <v>467</v>
      </c>
      <c r="B173" s="16" t="s">
        <v>80</v>
      </c>
      <c r="C173" s="103" t="s">
        <v>468</v>
      </c>
      <c r="D173" s="102">
        <v>17434.97</v>
      </c>
      <c r="E173" s="55">
        <v>0</v>
      </c>
      <c r="F173" s="55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36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57.6" customHeight="1" x14ac:dyDescent="0.2">
      <c r="A174" s="159" t="s">
        <v>469</v>
      </c>
      <c r="B174" s="16" t="s">
        <v>212</v>
      </c>
      <c r="C174" s="39" t="s">
        <v>470</v>
      </c>
      <c r="D174" s="102">
        <f>13751.02+5614.6</f>
        <v>19365.620000000003</v>
      </c>
      <c r="E174" s="55">
        <v>0</v>
      </c>
      <c r="F174" s="55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36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57.6" customHeight="1" x14ac:dyDescent="0.2">
      <c r="A175" s="159" t="s">
        <v>469</v>
      </c>
      <c r="B175" s="16" t="s">
        <v>80</v>
      </c>
      <c r="C175" s="39" t="s">
        <v>470</v>
      </c>
      <c r="D175" s="102">
        <v>108602.1</v>
      </c>
      <c r="E175" s="55">
        <v>0</v>
      </c>
      <c r="F175" s="55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36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38.25" x14ac:dyDescent="0.2">
      <c r="A176" s="142" t="s">
        <v>486</v>
      </c>
      <c r="B176" s="16" t="s">
        <v>6</v>
      </c>
      <c r="C176" s="72" t="s">
        <v>488</v>
      </c>
      <c r="D176" s="102">
        <f>+D177</f>
        <v>10572.5</v>
      </c>
      <c r="E176" s="102">
        <f t="shared" ref="E176:F176" si="59">+E177</f>
        <v>0</v>
      </c>
      <c r="F176" s="102">
        <f t="shared" si="59"/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36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57.6" customHeight="1" x14ac:dyDescent="0.2">
      <c r="A177" s="142" t="s">
        <v>487</v>
      </c>
      <c r="B177" s="16" t="s">
        <v>256</v>
      </c>
      <c r="C177" s="72" t="s">
        <v>489</v>
      </c>
      <c r="D177" s="102">
        <f>9552.5+1020</f>
        <v>10572.5</v>
      </c>
      <c r="E177" s="55">
        <v>0</v>
      </c>
      <c r="F177" s="55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36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64.900000000000006" customHeight="1" x14ac:dyDescent="0.2">
      <c r="A178" s="140" t="s">
        <v>221</v>
      </c>
      <c r="B178" s="16" t="s">
        <v>6</v>
      </c>
      <c r="C178" s="17" t="s">
        <v>222</v>
      </c>
      <c r="D178" s="55">
        <f>+D179+D181</f>
        <v>5925</v>
      </c>
      <c r="E178" s="55">
        <f t="shared" ref="E178:F178" si="60">+E179+E181</f>
        <v>2000</v>
      </c>
      <c r="F178" s="55">
        <f t="shared" si="60"/>
        <v>2000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36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55.9" customHeight="1" x14ac:dyDescent="0.2">
      <c r="A179" s="140" t="s">
        <v>300</v>
      </c>
      <c r="B179" s="16" t="s">
        <v>6</v>
      </c>
      <c r="C179" s="17" t="s">
        <v>224</v>
      </c>
      <c r="D179" s="55">
        <f>+D180</f>
        <v>2000</v>
      </c>
      <c r="E179" s="55">
        <f t="shared" ref="E179:F179" si="61">+E180</f>
        <v>2000</v>
      </c>
      <c r="F179" s="55">
        <f t="shared" si="61"/>
        <v>2000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36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109.15" customHeight="1" x14ac:dyDescent="0.2">
      <c r="A180" s="140" t="s">
        <v>223</v>
      </c>
      <c r="B180" s="16" t="s">
        <v>347</v>
      </c>
      <c r="C180" s="17" t="s">
        <v>225</v>
      </c>
      <c r="D180" s="55">
        <v>2000</v>
      </c>
      <c r="E180" s="55">
        <v>2000</v>
      </c>
      <c r="F180" s="55">
        <v>2000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36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5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BM180" s="3"/>
      <c r="BN180" s="3"/>
    </row>
    <row r="181" spans="1:66" s="4" customFormat="1" ht="69" customHeight="1" x14ac:dyDescent="0.2">
      <c r="A181" s="139" t="s">
        <v>498</v>
      </c>
      <c r="B181" s="16" t="s">
        <v>13</v>
      </c>
      <c r="C181" s="72" t="s">
        <v>499</v>
      </c>
      <c r="D181" s="55">
        <v>3925</v>
      </c>
      <c r="E181" s="55">
        <v>0</v>
      </c>
      <c r="F181" s="55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36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BM181" s="3"/>
      <c r="BN181" s="3"/>
    </row>
    <row r="182" spans="1:66" s="4" customFormat="1" ht="18.600000000000001" customHeight="1" x14ac:dyDescent="0.2">
      <c r="A182" s="140" t="s">
        <v>226</v>
      </c>
      <c r="B182" s="36" t="s">
        <v>6</v>
      </c>
      <c r="C182" s="37" t="s">
        <v>227</v>
      </c>
      <c r="D182" s="55">
        <f t="shared" ref="D182:F183" si="62">+D183</f>
        <v>646182</v>
      </c>
      <c r="E182" s="55">
        <f t="shared" si="62"/>
        <v>646182</v>
      </c>
      <c r="F182" s="55">
        <f t="shared" si="62"/>
        <v>646182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36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BM182" s="3"/>
      <c r="BN182" s="3"/>
    </row>
    <row r="183" spans="1:66" s="4" customFormat="1" ht="28.9" customHeight="1" x14ac:dyDescent="0.2">
      <c r="A183" s="140" t="s">
        <v>228</v>
      </c>
      <c r="B183" s="36" t="s">
        <v>6</v>
      </c>
      <c r="C183" s="37" t="s">
        <v>229</v>
      </c>
      <c r="D183" s="55">
        <f t="shared" si="62"/>
        <v>646182</v>
      </c>
      <c r="E183" s="55">
        <f t="shared" si="62"/>
        <v>646182</v>
      </c>
      <c r="F183" s="55">
        <f t="shared" si="62"/>
        <v>646182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36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BM183" s="3"/>
      <c r="BN183" s="3"/>
    </row>
    <row r="184" spans="1:66" s="4" customFormat="1" ht="56.45" customHeight="1" x14ac:dyDescent="0.2">
      <c r="A184" s="140" t="s">
        <v>230</v>
      </c>
      <c r="B184" s="36" t="s">
        <v>80</v>
      </c>
      <c r="C184" s="37" t="s">
        <v>231</v>
      </c>
      <c r="D184" s="55">
        <f>501000+145182</f>
        <v>646182</v>
      </c>
      <c r="E184" s="55">
        <f t="shared" ref="E184:F184" si="63">501000+145182</f>
        <v>646182</v>
      </c>
      <c r="F184" s="55">
        <f t="shared" si="63"/>
        <v>646182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36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BM184" s="3"/>
      <c r="BN184" s="3"/>
    </row>
    <row r="185" spans="1:66" s="4" customFormat="1" ht="96.6" customHeight="1" x14ac:dyDescent="0.2">
      <c r="A185" s="140" t="s">
        <v>375</v>
      </c>
      <c r="B185" s="36" t="s">
        <v>13</v>
      </c>
      <c r="C185" s="37" t="s">
        <v>374</v>
      </c>
      <c r="D185" s="55">
        <v>2000000</v>
      </c>
      <c r="E185" s="55">
        <v>0</v>
      </c>
      <c r="F185" s="55"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36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BM185" s="3"/>
      <c r="BN185" s="3"/>
    </row>
    <row r="186" spans="1:66" s="4" customFormat="1" ht="16.149999999999999" customHeight="1" x14ac:dyDescent="0.25">
      <c r="A186" s="140" t="s">
        <v>232</v>
      </c>
      <c r="B186" s="16" t="s">
        <v>6</v>
      </c>
      <c r="C186" s="17" t="s">
        <v>233</v>
      </c>
      <c r="D186" s="55">
        <f>+D187+D190</f>
        <v>3735312.5</v>
      </c>
      <c r="E186" s="55">
        <f t="shared" ref="E186:F186" si="64">+E187+E190</f>
        <v>494902</v>
      </c>
      <c r="F186" s="55">
        <f t="shared" si="64"/>
        <v>315169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36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ht="12" customHeight="1" x14ac:dyDescent="0.25">
      <c r="A187" s="140" t="s">
        <v>234</v>
      </c>
      <c r="B187" s="16" t="s">
        <v>6</v>
      </c>
      <c r="C187" s="17" t="s">
        <v>235</v>
      </c>
      <c r="D187" s="55">
        <f t="shared" ref="D187:F188" si="65">+D188</f>
        <v>674636</v>
      </c>
      <c r="E187" s="55">
        <f t="shared" si="65"/>
        <v>494902</v>
      </c>
      <c r="F187" s="55">
        <f t="shared" si="65"/>
        <v>315169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36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ht="16.149999999999999" customHeight="1" x14ac:dyDescent="0.25">
      <c r="A188" s="140" t="s">
        <v>236</v>
      </c>
      <c r="B188" s="16" t="s">
        <v>6</v>
      </c>
      <c r="C188" s="17" t="s">
        <v>237</v>
      </c>
      <c r="D188" s="55">
        <f t="shared" si="65"/>
        <v>674636</v>
      </c>
      <c r="E188" s="55">
        <f t="shared" si="65"/>
        <v>494902</v>
      </c>
      <c r="F188" s="55">
        <f t="shared" si="65"/>
        <v>315169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36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28.9" customHeight="1" x14ac:dyDescent="0.25">
      <c r="A189" s="129" t="s">
        <v>238</v>
      </c>
      <c r="B189" s="16" t="s">
        <v>78</v>
      </c>
      <c r="C189" s="17" t="s">
        <v>239</v>
      </c>
      <c r="D189" s="55">
        <v>674636</v>
      </c>
      <c r="E189" s="55">
        <v>494902</v>
      </c>
      <c r="F189" s="55">
        <v>315169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36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16.899999999999999" customHeight="1" x14ac:dyDescent="0.25">
      <c r="A190" s="129" t="s">
        <v>357</v>
      </c>
      <c r="B190" s="16" t="s">
        <v>6</v>
      </c>
      <c r="C190" s="17" t="s">
        <v>358</v>
      </c>
      <c r="D190" s="55">
        <f>+D191</f>
        <v>3060676.5</v>
      </c>
      <c r="E190" s="55">
        <f t="shared" ref="E190:F190" si="66">+E191</f>
        <v>0</v>
      </c>
      <c r="F190" s="55">
        <f t="shared" si="66"/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36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23.45" customHeight="1" x14ac:dyDescent="0.25">
      <c r="A191" s="129" t="s">
        <v>359</v>
      </c>
      <c r="B191" s="16" t="s">
        <v>6</v>
      </c>
      <c r="C191" s="17" t="s">
        <v>360</v>
      </c>
      <c r="D191" s="55">
        <f>+D192+D193+D194+D195+D196+D197+D198+D199+D200+D201+D202+D203+D204+D205+D206+D207+D208+D209+D210+D211+D212+D213+D215+D214</f>
        <v>3060676.5</v>
      </c>
      <c r="E191" s="55">
        <f t="shared" ref="E191:F191" si="67">+E192+E193+E194+E195+E196+E197+E198+E199+E200+E201+E202+E203+E204+E205+E206+E207+E208+E209+E210+E211+E212+E213+E215+E214</f>
        <v>0</v>
      </c>
      <c r="F191" s="55">
        <f t="shared" si="67"/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36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27.6" customHeight="1" x14ac:dyDescent="0.25">
      <c r="A192" s="160" t="s">
        <v>361</v>
      </c>
      <c r="B192" s="16" t="s">
        <v>212</v>
      </c>
      <c r="C192" s="77" t="s">
        <v>431</v>
      </c>
      <c r="D192" s="55">
        <v>-225000</v>
      </c>
      <c r="E192" s="55">
        <v>0</v>
      </c>
      <c r="F192" s="55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36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55.15" customHeight="1" x14ac:dyDescent="0.25">
      <c r="A193" s="160" t="s">
        <v>362</v>
      </c>
      <c r="B193" s="16" t="s">
        <v>212</v>
      </c>
      <c r="C193" s="77" t="s">
        <v>432</v>
      </c>
      <c r="D193" s="55">
        <v>-220000</v>
      </c>
      <c r="E193" s="55">
        <v>0</v>
      </c>
      <c r="F193" s="55"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36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43.9" customHeight="1" x14ac:dyDescent="0.25">
      <c r="A194" s="160" t="s">
        <v>363</v>
      </c>
      <c r="B194" s="16" t="s">
        <v>212</v>
      </c>
      <c r="C194" s="77" t="s">
        <v>433</v>
      </c>
      <c r="D194" s="55">
        <f>-100000-100328.5</f>
        <v>-200328.5</v>
      </c>
      <c r="E194" s="55">
        <v>0</v>
      </c>
      <c r="F194" s="55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36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68.45" customHeight="1" x14ac:dyDescent="0.25">
      <c r="A195" s="160" t="s">
        <v>364</v>
      </c>
      <c r="B195" s="16" t="s">
        <v>212</v>
      </c>
      <c r="C195" s="77" t="s">
        <v>434</v>
      </c>
      <c r="D195" s="55">
        <v>-224719</v>
      </c>
      <c r="E195" s="55">
        <v>0</v>
      </c>
      <c r="F195" s="55"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36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70.900000000000006" customHeight="1" x14ac:dyDescent="0.25">
      <c r="A196" s="160" t="s">
        <v>365</v>
      </c>
      <c r="B196" s="16" t="s">
        <v>212</v>
      </c>
      <c r="C196" s="77" t="s">
        <v>435</v>
      </c>
      <c r="D196" s="55">
        <v>-224719</v>
      </c>
      <c r="E196" s="55">
        <v>0</v>
      </c>
      <c r="F196" s="55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36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72" customHeight="1" x14ac:dyDescent="0.25">
      <c r="A197" s="160" t="s">
        <v>366</v>
      </c>
      <c r="B197" s="16" t="s">
        <v>212</v>
      </c>
      <c r="C197" s="77" t="s">
        <v>436</v>
      </c>
      <c r="D197" s="55">
        <v>-178140</v>
      </c>
      <c r="E197" s="55">
        <v>0</v>
      </c>
      <c r="F197" s="55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36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44.45" customHeight="1" x14ac:dyDescent="0.25">
      <c r="A198" s="160" t="s">
        <v>367</v>
      </c>
      <c r="B198" s="16" t="s">
        <v>212</v>
      </c>
      <c r="C198" s="77" t="s">
        <v>437</v>
      </c>
      <c r="D198" s="55">
        <v>-224719</v>
      </c>
      <c r="E198" s="55">
        <v>0</v>
      </c>
      <c r="F198" s="55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36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43.9" customHeight="1" x14ac:dyDescent="0.25">
      <c r="A199" s="160" t="s">
        <v>368</v>
      </c>
      <c r="B199" s="16" t="s">
        <v>212</v>
      </c>
      <c r="C199" s="77" t="s">
        <v>438</v>
      </c>
      <c r="D199" s="55">
        <v>-224719</v>
      </c>
      <c r="E199" s="55">
        <v>0</v>
      </c>
      <c r="F199" s="55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36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42.6" customHeight="1" x14ac:dyDescent="0.25">
      <c r="A200" s="160" t="s">
        <v>369</v>
      </c>
      <c r="B200" s="16" t="s">
        <v>212</v>
      </c>
      <c r="C200" s="77" t="s">
        <v>439</v>
      </c>
      <c r="D200" s="55">
        <v>-224719</v>
      </c>
      <c r="E200" s="55">
        <v>0</v>
      </c>
      <c r="F200" s="55"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36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39.6" customHeight="1" x14ac:dyDescent="0.25">
      <c r="A201" s="160" t="s">
        <v>517</v>
      </c>
      <c r="B201" s="16" t="s">
        <v>212</v>
      </c>
      <c r="C201" s="77" t="s">
        <v>531</v>
      </c>
      <c r="D201" s="158">
        <v>374660</v>
      </c>
      <c r="E201" s="55">
        <v>0</v>
      </c>
      <c r="F201" s="55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36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40.9" customHeight="1" x14ac:dyDescent="0.25">
      <c r="A202" s="160" t="s">
        <v>518</v>
      </c>
      <c r="B202" s="16" t="s">
        <v>212</v>
      </c>
      <c r="C202" s="77" t="s">
        <v>532</v>
      </c>
      <c r="D202" s="158">
        <v>360000</v>
      </c>
      <c r="E202" s="55">
        <v>0</v>
      </c>
      <c r="F202" s="55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36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35.450000000000003" customHeight="1" x14ac:dyDescent="0.25">
      <c r="A203" s="160" t="s">
        <v>519</v>
      </c>
      <c r="B203" s="16" t="s">
        <v>212</v>
      </c>
      <c r="C203" s="77" t="s">
        <v>533</v>
      </c>
      <c r="D203" s="158">
        <v>300000</v>
      </c>
      <c r="E203" s="55">
        <v>0</v>
      </c>
      <c r="F203" s="5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36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53.45" customHeight="1" x14ac:dyDescent="0.25">
      <c r="A204" s="160" t="s">
        <v>520</v>
      </c>
      <c r="B204" s="16" t="s">
        <v>212</v>
      </c>
      <c r="C204" s="77" t="s">
        <v>534</v>
      </c>
      <c r="D204" s="158">
        <v>500000</v>
      </c>
      <c r="E204" s="55">
        <v>0</v>
      </c>
      <c r="F204" s="55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36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53.45" customHeight="1" x14ac:dyDescent="0.25">
      <c r="A205" s="160" t="s">
        <v>521</v>
      </c>
      <c r="B205" s="16" t="s">
        <v>212</v>
      </c>
      <c r="C205" s="77" t="s">
        <v>535</v>
      </c>
      <c r="D205" s="158">
        <v>500000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36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40.9" customHeight="1" x14ac:dyDescent="0.25">
      <c r="A206" s="160" t="s">
        <v>522</v>
      </c>
      <c r="B206" s="16" t="s">
        <v>212</v>
      </c>
      <c r="C206" s="77" t="s">
        <v>536</v>
      </c>
      <c r="D206" s="158">
        <v>500000</v>
      </c>
      <c r="E206" s="55">
        <v>0</v>
      </c>
      <c r="F206" s="55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36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41.45" customHeight="1" x14ac:dyDescent="0.25">
      <c r="A207" s="160" t="s">
        <v>523</v>
      </c>
      <c r="B207" s="16" t="s">
        <v>212</v>
      </c>
      <c r="C207" s="77" t="s">
        <v>537</v>
      </c>
      <c r="D207" s="158">
        <v>500000</v>
      </c>
      <c r="E207" s="55">
        <v>0</v>
      </c>
      <c r="F207" s="55">
        <v>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36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81" customHeight="1" x14ac:dyDescent="0.25">
      <c r="A208" s="160" t="s">
        <v>524</v>
      </c>
      <c r="B208" s="16" t="s">
        <v>212</v>
      </c>
      <c r="C208" s="77" t="s">
        <v>538</v>
      </c>
      <c r="D208" s="158">
        <v>105000</v>
      </c>
      <c r="E208" s="55">
        <v>0</v>
      </c>
      <c r="F208" s="55">
        <v>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36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54.6" customHeight="1" x14ac:dyDescent="0.25">
      <c r="A209" s="160" t="s">
        <v>525</v>
      </c>
      <c r="B209" s="16" t="s">
        <v>212</v>
      </c>
      <c r="C209" s="77" t="s">
        <v>539</v>
      </c>
      <c r="D209" s="158">
        <v>300000</v>
      </c>
      <c r="E209" s="55">
        <v>0</v>
      </c>
      <c r="F209" s="55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36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25.9" customHeight="1" x14ac:dyDescent="0.25">
      <c r="A210" s="160" t="s">
        <v>361</v>
      </c>
      <c r="B210" s="16" t="s">
        <v>212</v>
      </c>
      <c r="C210" s="77" t="s">
        <v>540</v>
      </c>
      <c r="D210" s="158">
        <v>360000</v>
      </c>
      <c r="E210" s="55">
        <v>0</v>
      </c>
      <c r="F210" s="55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36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40.15" customHeight="1" x14ac:dyDescent="0.25">
      <c r="A211" s="160" t="s">
        <v>526</v>
      </c>
      <c r="B211" s="16" t="s">
        <v>212</v>
      </c>
      <c r="C211" s="77" t="s">
        <v>541</v>
      </c>
      <c r="D211" s="158">
        <v>150000</v>
      </c>
      <c r="E211" s="55">
        <v>0</v>
      </c>
      <c r="F211" s="55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36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40.15" customHeight="1" x14ac:dyDescent="0.25">
      <c r="A212" s="160" t="s">
        <v>527</v>
      </c>
      <c r="B212" s="16" t="s">
        <v>212</v>
      </c>
      <c r="C212" s="77" t="s">
        <v>542</v>
      </c>
      <c r="D212" s="158">
        <v>200000</v>
      </c>
      <c r="E212" s="55">
        <v>0</v>
      </c>
      <c r="F212" s="55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36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68.45" customHeight="1" x14ac:dyDescent="0.25">
      <c r="A213" s="160" t="s">
        <v>528</v>
      </c>
      <c r="B213" s="16" t="s">
        <v>212</v>
      </c>
      <c r="C213" s="77" t="s">
        <v>543</v>
      </c>
      <c r="D213" s="158">
        <v>378080</v>
      </c>
      <c r="E213" s="55">
        <v>0</v>
      </c>
      <c r="F213" s="55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36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40.9" customHeight="1" x14ac:dyDescent="0.25">
      <c r="A214" s="160" t="s">
        <v>529</v>
      </c>
      <c r="B214" s="16" t="s">
        <v>212</v>
      </c>
      <c r="C214" s="77" t="s">
        <v>544</v>
      </c>
      <c r="D214" s="158">
        <v>230000</v>
      </c>
      <c r="E214" s="55">
        <v>0</v>
      </c>
      <c r="F214" s="55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36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30.6" customHeight="1" x14ac:dyDescent="0.25">
      <c r="A215" s="160" t="s">
        <v>530</v>
      </c>
      <c r="B215" s="16" t="s">
        <v>212</v>
      </c>
      <c r="C215" s="77" t="s">
        <v>545</v>
      </c>
      <c r="D215" s="158">
        <v>250000</v>
      </c>
      <c r="E215" s="55">
        <v>0</v>
      </c>
      <c r="F215" s="55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36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ht="15" customHeight="1" x14ac:dyDescent="0.25">
      <c r="A216" s="129" t="s">
        <v>240</v>
      </c>
      <c r="B216" s="16" t="s">
        <v>6</v>
      </c>
      <c r="C216" s="17" t="s">
        <v>241</v>
      </c>
      <c r="D216" s="55">
        <f>+D217+D294+D301</f>
        <v>3217658397.1299996</v>
      </c>
      <c r="E216" s="55">
        <f t="shared" ref="E216:F216" si="68">+E217</f>
        <v>2573427380</v>
      </c>
      <c r="F216" s="55">
        <f t="shared" si="68"/>
        <v>2289053400</v>
      </c>
      <c r="G216" s="3"/>
      <c r="H216" s="25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36"/>
      <c r="W216" s="3"/>
      <c r="X216" s="3"/>
      <c r="Y216" s="3"/>
      <c r="Z216" s="3"/>
      <c r="AB216" s="12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29.45" customHeight="1" x14ac:dyDescent="0.25">
      <c r="A217" s="170" t="s">
        <v>242</v>
      </c>
      <c r="B217" s="16" t="s">
        <v>6</v>
      </c>
      <c r="C217" s="17" t="s">
        <v>243</v>
      </c>
      <c r="D217" s="55">
        <f>+D265+D218+D223+D285</f>
        <v>3217669279.5999999</v>
      </c>
      <c r="E217" s="55">
        <f t="shared" ref="E217:F217" si="69">+E265+E218+E223+E285</f>
        <v>2573427380</v>
      </c>
      <c r="F217" s="55">
        <f t="shared" si="69"/>
        <v>2289053400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36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15.6" customHeight="1" x14ac:dyDescent="0.25">
      <c r="A218" s="170" t="s">
        <v>244</v>
      </c>
      <c r="B218" s="16" t="s">
        <v>6</v>
      </c>
      <c r="C218" s="17" t="s">
        <v>245</v>
      </c>
      <c r="D218" s="55">
        <f>+D219+D221</f>
        <v>234706900</v>
      </c>
      <c r="E218" s="55">
        <f t="shared" ref="E218:F218" si="70">+E219+E221</f>
        <v>46225700</v>
      </c>
      <c r="F218" s="55">
        <f t="shared" si="70"/>
        <v>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36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ht="16.899999999999999" customHeight="1" x14ac:dyDescent="0.25">
      <c r="A219" s="171" t="s">
        <v>246</v>
      </c>
      <c r="B219" s="16" t="s">
        <v>6</v>
      </c>
      <c r="C219" s="28" t="s">
        <v>247</v>
      </c>
      <c r="D219" s="55">
        <f>+D220</f>
        <v>44904800</v>
      </c>
      <c r="E219" s="55">
        <f t="shared" ref="E219:F219" si="71">+E220</f>
        <v>46225700</v>
      </c>
      <c r="F219" s="55">
        <f t="shared" si="71"/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36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41.45" customHeight="1" x14ac:dyDescent="0.25">
      <c r="A220" s="171" t="s">
        <v>248</v>
      </c>
      <c r="B220" s="16" t="s">
        <v>249</v>
      </c>
      <c r="C220" s="17" t="s">
        <v>250</v>
      </c>
      <c r="D220" s="55">
        <v>44904800</v>
      </c>
      <c r="E220" s="55">
        <v>46225700</v>
      </c>
      <c r="F220" s="55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36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28.9" customHeight="1" x14ac:dyDescent="0.25">
      <c r="A221" s="140" t="s">
        <v>397</v>
      </c>
      <c r="B221" s="16" t="s">
        <v>6</v>
      </c>
      <c r="C221" s="66" t="s">
        <v>399</v>
      </c>
      <c r="D221" s="55">
        <f>+D222</f>
        <v>189802100</v>
      </c>
      <c r="E221" s="55">
        <f t="shared" ref="E221:F221" si="72">+E222</f>
        <v>0</v>
      </c>
      <c r="F221" s="55">
        <f t="shared" si="72"/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36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31.15" customHeight="1" x14ac:dyDescent="0.25">
      <c r="A222" s="171" t="s">
        <v>397</v>
      </c>
      <c r="B222" s="16" t="s">
        <v>249</v>
      </c>
      <c r="C222" s="17" t="s">
        <v>398</v>
      </c>
      <c r="D222" s="55">
        <f>104530400+85271700</f>
        <v>189802100</v>
      </c>
      <c r="E222" s="55">
        <v>0</v>
      </c>
      <c r="F222" s="55"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36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29.45" customHeight="1" x14ac:dyDescent="0.25">
      <c r="A223" s="129" t="s">
        <v>251</v>
      </c>
      <c r="B223" s="16" t="s">
        <v>6</v>
      </c>
      <c r="C223" s="16" t="s">
        <v>252</v>
      </c>
      <c r="D223" s="55">
        <f>+D232+D244+D230+D236+D242+D238+D240+D234+D224+D226+D228</f>
        <v>817928079.5999999</v>
      </c>
      <c r="E223" s="55">
        <f t="shared" ref="E223:F223" si="73">+E232+E244+E230+E236+E242+E238+E240+E234+E224+E226+E228</f>
        <v>621686480</v>
      </c>
      <c r="F223" s="55">
        <f t="shared" si="73"/>
        <v>383538400</v>
      </c>
      <c r="G223" s="3"/>
      <c r="H223" s="25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36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94.15" customHeight="1" x14ac:dyDescent="0.25">
      <c r="A224" s="129" t="s">
        <v>442</v>
      </c>
      <c r="B224" s="16" t="s">
        <v>6</v>
      </c>
      <c r="C224" s="16" t="s">
        <v>443</v>
      </c>
      <c r="D224" s="55">
        <f>+D225</f>
        <v>19551546</v>
      </c>
      <c r="E224" s="55">
        <f t="shared" ref="E224:F224" si="74">+E225</f>
        <v>0</v>
      </c>
      <c r="F224" s="55">
        <f t="shared" si="74"/>
        <v>0</v>
      </c>
      <c r="G224" s="3"/>
      <c r="H224" s="25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36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95.45" customHeight="1" x14ac:dyDescent="0.25">
      <c r="A225" s="129" t="s">
        <v>440</v>
      </c>
      <c r="B225" s="16" t="s">
        <v>80</v>
      </c>
      <c r="C225" s="16" t="s">
        <v>441</v>
      </c>
      <c r="D225" s="55">
        <f>25400500-5848954</f>
        <v>19551546</v>
      </c>
      <c r="E225" s="55">
        <v>0</v>
      </c>
      <c r="F225" s="55">
        <v>0</v>
      </c>
      <c r="G225" s="3"/>
      <c r="H225" s="25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36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28.9" customHeight="1" x14ac:dyDescent="0.25">
      <c r="A226" s="129" t="s">
        <v>448</v>
      </c>
      <c r="B226" s="16" t="s">
        <v>6</v>
      </c>
      <c r="C226" s="16" t="s">
        <v>449</v>
      </c>
      <c r="D226" s="55">
        <f>+D227</f>
        <v>184748</v>
      </c>
      <c r="E226" s="55">
        <f t="shared" ref="E226:F226" si="75">+E227</f>
        <v>0</v>
      </c>
      <c r="F226" s="55">
        <f t="shared" si="75"/>
        <v>0</v>
      </c>
      <c r="G226" s="3"/>
      <c r="H226" s="25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36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44.45" customHeight="1" x14ac:dyDescent="0.25">
      <c r="A227" s="129" t="s">
        <v>446</v>
      </c>
      <c r="B227" s="16" t="s">
        <v>271</v>
      </c>
      <c r="C227" s="16" t="s">
        <v>447</v>
      </c>
      <c r="D227" s="55">
        <v>184748</v>
      </c>
      <c r="E227" s="55">
        <v>0</v>
      </c>
      <c r="F227" s="55">
        <v>0</v>
      </c>
      <c r="G227" s="3"/>
      <c r="H227" s="25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36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42" customHeight="1" x14ac:dyDescent="0.25">
      <c r="A228" s="129" t="s">
        <v>450</v>
      </c>
      <c r="B228" s="16" t="s">
        <v>6</v>
      </c>
      <c r="C228" s="16" t="s">
        <v>451</v>
      </c>
      <c r="D228" s="55">
        <f>+D229</f>
        <v>14840000</v>
      </c>
      <c r="E228" s="55">
        <f t="shared" ref="E228:F228" si="76">+E229</f>
        <v>0</v>
      </c>
      <c r="F228" s="55">
        <f t="shared" si="76"/>
        <v>0</v>
      </c>
      <c r="G228" s="3"/>
      <c r="H228" s="25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36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45" customHeight="1" x14ac:dyDescent="0.25">
      <c r="A229" s="129" t="s">
        <v>444</v>
      </c>
      <c r="B229" s="16" t="s">
        <v>271</v>
      </c>
      <c r="C229" s="16" t="s">
        <v>445</v>
      </c>
      <c r="D229" s="55">
        <v>14840000</v>
      </c>
      <c r="E229" s="55">
        <v>0</v>
      </c>
      <c r="F229" s="55">
        <v>0</v>
      </c>
      <c r="G229" s="3"/>
      <c r="H229" s="25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36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57" customHeight="1" x14ac:dyDescent="0.25">
      <c r="A230" s="172" t="s">
        <v>253</v>
      </c>
      <c r="B230" s="67" t="s">
        <v>6</v>
      </c>
      <c r="C230" s="67" t="s">
        <v>254</v>
      </c>
      <c r="D230" s="55">
        <f t="shared" ref="D230:F230" si="77">+D231</f>
        <v>56916500</v>
      </c>
      <c r="E230" s="55">
        <f t="shared" si="77"/>
        <v>58013200</v>
      </c>
      <c r="F230" s="55">
        <f t="shared" si="77"/>
        <v>56526400</v>
      </c>
      <c r="G230" s="3"/>
      <c r="H230" s="25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36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55.9" customHeight="1" x14ac:dyDescent="0.25">
      <c r="A231" s="172" t="s">
        <v>255</v>
      </c>
      <c r="B231" s="67" t="s">
        <v>256</v>
      </c>
      <c r="C231" s="67" t="s">
        <v>257</v>
      </c>
      <c r="D231" s="55">
        <f>57764900-848400</f>
        <v>56916500</v>
      </c>
      <c r="E231" s="55">
        <f>57915600+97600</f>
        <v>58013200</v>
      </c>
      <c r="F231" s="55">
        <f>56431200+95200</f>
        <v>56526400</v>
      </c>
      <c r="G231" s="3"/>
      <c r="H231" s="25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36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56.45" customHeight="1" x14ac:dyDescent="0.25">
      <c r="A232" s="173" t="s">
        <v>258</v>
      </c>
      <c r="B232" s="36" t="s">
        <v>6</v>
      </c>
      <c r="C232" s="36" t="s">
        <v>259</v>
      </c>
      <c r="D232" s="55">
        <f>D233</f>
        <v>2783996.86</v>
      </c>
      <c r="E232" s="55">
        <f>E233</f>
        <v>2821900</v>
      </c>
      <c r="F232" s="55">
        <f>F233</f>
        <v>4759000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36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5.15" customHeight="1" x14ac:dyDescent="0.25">
      <c r="A233" s="173" t="s">
        <v>260</v>
      </c>
      <c r="B233" s="16" t="s">
        <v>261</v>
      </c>
      <c r="C233" s="16" t="s">
        <v>262</v>
      </c>
      <c r="D233" s="55">
        <f>2784000-3.14</f>
        <v>2783996.86</v>
      </c>
      <c r="E233" s="55">
        <v>2821900</v>
      </c>
      <c r="F233" s="55">
        <v>4759000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136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30.6" customHeight="1" x14ac:dyDescent="0.25">
      <c r="A234" s="173" t="s">
        <v>414</v>
      </c>
      <c r="B234" s="16" t="s">
        <v>6</v>
      </c>
      <c r="C234" s="16" t="s">
        <v>415</v>
      </c>
      <c r="D234" s="55">
        <f>+D235</f>
        <v>17274741.66</v>
      </c>
      <c r="E234" s="55">
        <f t="shared" ref="E234:F234" si="78">+E235</f>
        <v>0</v>
      </c>
      <c r="F234" s="55">
        <f t="shared" si="78"/>
        <v>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136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28.15" customHeight="1" x14ac:dyDescent="0.25">
      <c r="A235" s="173" t="s">
        <v>412</v>
      </c>
      <c r="B235" s="16" t="s">
        <v>271</v>
      </c>
      <c r="C235" s="16" t="s">
        <v>413</v>
      </c>
      <c r="D235" s="55">
        <v>17274741.66</v>
      </c>
      <c r="E235" s="55">
        <v>0</v>
      </c>
      <c r="F235" s="55"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136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17.45" customHeight="1" x14ac:dyDescent="0.25">
      <c r="A236" s="173" t="s">
        <v>325</v>
      </c>
      <c r="B236" s="16" t="s">
        <v>6</v>
      </c>
      <c r="C236" s="16" t="s">
        <v>326</v>
      </c>
      <c r="D236" s="55">
        <f t="shared" ref="D236:F236" si="79">+D237</f>
        <v>444780</v>
      </c>
      <c r="E236" s="55">
        <f t="shared" si="79"/>
        <v>444780</v>
      </c>
      <c r="F236" s="55">
        <f t="shared" si="79"/>
        <v>445300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136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27" customHeight="1" x14ac:dyDescent="0.25">
      <c r="A237" s="173" t="s">
        <v>328</v>
      </c>
      <c r="B237" s="16" t="s">
        <v>261</v>
      </c>
      <c r="C237" s="16" t="s">
        <v>327</v>
      </c>
      <c r="D237" s="55">
        <f>444800-20</f>
        <v>444780</v>
      </c>
      <c r="E237" s="55">
        <f>444800-20</f>
        <v>444780</v>
      </c>
      <c r="F237" s="55">
        <v>445300</v>
      </c>
      <c r="G237" s="2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136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28.9" customHeight="1" x14ac:dyDescent="0.25">
      <c r="A238" s="173" t="s">
        <v>404</v>
      </c>
      <c r="B238" s="16" t="s">
        <v>6</v>
      </c>
      <c r="C238" s="16" t="s">
        <v>405</v>
      </c>
      <c r="D238" s="55">
        <f>+D239</f>
        <v>39167200</v>
      </c>
      <c r="E238" s="55">
        <f t="shared" ref="E238:F238" si="80">+E239</f>
        <v>0</v>
      </c>
      <c r="F238" s="55">
        <f t="shared" si="80"/>
        <v>0</v>
      </c>
      <c r="G238" s="2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136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31.9" customHeight="1" x14ac:dyDescent="0.25">
      <c r="A239" s="173" t="s">
        <v>402</v>
      </c>
      <c r="B239" s="16" t="s">
        <v>80</v>
      </c>
      <c r="C239" s="16" t="s">
        <v>403</v>
      </c>
      <c r="D239" s="55">
        <v>39167200</v>
      </c>
      <c r="E239" s="55">
        <v>0</v>
      </c>
      <c r="F239" s="55">
        <v>0</v>
      </c>
      <c r="G239" s="2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136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25.9" customHeight="1" x14ac:dyDescent="0.25">
      <c r="A240" s="173" t="s">
        <v>409</v>
      </c>
      <c r="B240" s="16" t="s">
        <v>6</v>
      </c>
      <c r="C240" s="16" t="s">
        <v>410</v>
      </c>
      <c r="D240" s="55">
        <f>+D241</f>
        <v>4832296.28</v>
      </c>
      <c r="E240" s="55">
        <f t="shared" ref="E240:F240" si="81">+E241</f>
        <v>0</v>
      </c>
      <c r="F240" s="55">
        <f t="shared" si="81"/>
        <v>0</v>
      </c>
      <c r="G240" s="2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136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7" s="4" customFormat="1" ht="27.6" customHeight="1" x14ac:dyDescent="0.25">
      <c r="A241" s="173" t="s">
        <v>407</v>
      </c>
      <c r="B241" s="16" t="s">
        <v>261</v>
      </c>
      <c r="C241" s="16" t="s">
        <v>408</v>
      </c>
      <c r="D241" s="55">
        <v>4832296.28</v>
      </c>
      <c r="E241" s="55">
        <v>0</v>
      </c>
      <c r="F241" s="55">
        <v>0</v>
      </c>
      <c r="G241" s="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136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7" s="4" customFormat="1" ht="28.9" customHeight="1" x14ac:dyDescent="0.25">
      <c r="A242" s="173" t="s">
        <v>354</v>
      </c>
      <c r="B242" s="16" t="s">
        <v>6</v>
      </c>
      <c r="C242" s="16" t="s">
        <v>355</v>
      </c>
      <c r="D242" s="55">
        <f>+D243</f>
        <v>117542700</v>
      </c>
      <c r="E242" s="55">
        <f t="shared" ref="E242:F242" si="82">+E243</f>
        <v>0</v>
      </c>
      <c r="F242" s="55">
        <f t="shared" si="82"/>
        <v>0</v>
      </c>
      <c r="G242" s="2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136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7" s="4" customFormat="1" ht="30.6" customHeight="1" x14ac:dyDescent="0.25">
      <c r="A243" s="173" t="s">
        <v>352</v>
      </c>
      <c r="B243" s="16" t="s">
        <v>256</v>
      </c>
      <c r="C243" s="16" t="s">
        <v>353</v>
      </c>
      <c r="D243" s="55">
        <v>117542700</v>
      </c>
      <c r="E243" s="55">
        <v>0</v>
      </c>
      <c r="F243" s="55">
        <v>0</v>
      </c>
      <c r="G243" s="2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136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7" s="4" customFormat="1" ht="15.6" customHeight="1" x14ac:dyDescent="0.25">
      <c r="A244" s="129" t="s">
        <v>263</v>
      </c>
      <c r="B244" s="16" t="s">
        <v>6</v>
      </c>
      <c r="C244" s="32" t="s">
        <v>264</v>
      </c>
      <c r="D244" s="55">
        <f>+D245</f>
        <v>544389570.79999995</v>
      </c>
      <c r="E244" s="55">
        <f>+E245</f>
        <v>560406600</v>
      </c>
      <c r="F244" s="55">
        <f>+F245</f>
        <v>321807700</v>
      </c>
      <c r="G244" s="3"/>
      <c r="H244" s="25"/>
      <c r="I244" s="25"/>
      <c r="J244" s="25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136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7" s="4" customFormat="1" ht="18" customHeight="1" x14ac:dyDescent="0.25">
      <c r="A245" s="129" t="s">
        <v>265</v>
      </c>
      <c r="B245" s="16" t="s">
        <v>6</v>
      </c>
      <c r="C245" s="32" t="s">
        <v>266</v>
      </c>
      <c r="D245" s="55">
        <f>+D246+D247+D248+D249+D250+D251+D252+D253+D254+D256+D257+D259+D260+D261+D262+D255+D258+D264+D263</f>
        <v>544389570.79999995</v>
      </c>
      <c r="E245" s="55">
        <f t="shared" ref="E245:F245" si="83">+E246+E247+E248+E249+E250+E251+E252+E253+E254+E256+E257+E259+E260+E261+E262+E255+E258+E264+E263</f>
        <v>560406600</v>
      </c>
      <c r="F245" s="55">
        <f t="shared" si="83"/>
        <v>321807700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136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7" s="4" customFormat="1" ht="56.45" customHeight="1" x14ac:dyDescent="0.25">
      <c r="A246" s="140" t="s">
        <v>333</v>
      </c>
      <c r="B246" s="16" t="s">
        <v>261</v>
      </c>
      <c r="C246" s="32" t="s">
        <v>266</v>
      </c>
      <c r="D246" s="55">
        <f>90044700-25000000+40000000-15000000</f>
        <v>90044700</v>
      </c>
      <c r="E246" s="55">
        <f>90044700+77163900+20000000</f>
        <v>187208600</v>
      </c>
      <c r="F246" s="55"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136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  <c r="BO246" s="62"/>
    </row>
    <row r="247" spans="1:67" s="4" customFormat="1" ht="44.45" customHeight="1" x14ac:dyDescent="0.25">
      <c r="A247" s="140" t="s">
        <v>406</v>
      </c>
      <c r="B247" s="16" t="s">
        <v>261</v>
      </c>
      <c r="C247" s="32" t="s">
        <v>266</v>
      </c>
      <c r="D247" s="55">
        <v>658040</v>
      </c>
      <c r="E247" s="55">
        <v>0</v>
      </c>
      <c r="F247" s="55">
        <v>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136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  <c r="BO247" s="62"/>
    </row>
    <row r="248" spans="1:67" s="4" customFormat="1" ht="69.599999999999994" customHeight="1" x14ac:dyDescent="0.25">
      <c r="A248" s="169" t="s">
        <v>349</v>
      </c>
      <c r="B248" s="16" t="s">
        <v>256</v>
      </c>
      <c r="C248" s="32" t="s">
        <v>266</v>
      </c>
      <c r="D248" s="58">
        <f>6953500-6953500</f>
        <v>0</v>
      </c>
      <c r="E248" s="58">
        <v>24928400</v>
      </c>
      <c r="F248" s="58">
        <v>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136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7" s="4" customFormat="1" ht="69.599999999999994" customHeight="1" x14ac:dyDescent="0.25">
      <c r="A249" s="169" t="s">
        <v>267</v>
      </c>
      <c r="B249" s="16" t="s">
        <v>256</v>
      </c>
      <c r="C249" s="32" t="s">
        <v>266</v>
      </c>
      <c r="D249" s="55">
        <f>2603200+347100</f>
        <v>2950300</v>
      </c>
      <c r="E249" s="55">
        <v>2603200</v>
      </c>
      <c r="F249" s="55">
        <v>2632500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136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7" s="4" customFormat="1" ht="69" customHeight="1" x14ac:dyDescent="0.25">
      <c r="A250" s="140" t="s">
        <v>268</v>
      </c>
      <c r="B250" s="16" t="s">
        <v>256</v>
      </c>
      <c r="C250" s="32" t="s">
        <v>266</v>
      </c>
      <c r="D250" s="55">
        <f>10850300+1725900</f>
        <v>12576200</v>
      </c>
      <c r="E250" s="55">
        <f>10578500+1704100</f>
        <v>12282600</v>
      </c>
      <c r="F250" s="55">
        <f>10377400+1697000</f>
        <v>12074400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136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7" s="4" customFormat="1" ht="55.9" customHeight="1" x14ac:dyDescent="0.25">
      <c r="A251" s="140" t="s">
        <v>269</v>
      </c>
      <c r="B251" s="16" t="s">
        <v>256</v>
      </c>
      <c r="C251" s="32" t="s">
        <v>266</v>
      </c>
      <c r="D251" s="55">
        <f>5036300-73400</f>
        <v>4962900</v>
      </c>
      <c r="E251" s="55">
        <f>7601900-110700</f>
        <v>7491200</v>
      </c>
      <c r="F251" s="55">
        <f>7677500-110200</f>
        <v>7567300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136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7" s="4" customFormat="1" ht="56.45" customHeight="1" x14ac:dyDescent="0.25">
      <c r="A252" s="167" t="s">
        <v>551</v>
      </c>
      <c r="B252" s="16" t="s">
        <v>256</v>
      </c>
      <c r="C252" s="32" t="s">
        <v>266</v>
      </c>
      <c r="D252" s="55">
        <v>15000000</v>
      </c>
      <c r="E252" s="55">
        <v>23768600</v>
      </c>
      <c r="F252" s="55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136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7" s="4" customFormat="1" ht="81.599999999999994" customHeight="1" x14ac:dyDescent="0.25">
      <c r="A253" s="167" t="s">
        <v>401</v>
      </c>
      <c r="B253" s="16" t="s">
        <v>256</v>
      </c>
      <c r="C253" s="32" t="s">
        <v>266</v>
      </c>
      <c r="D253" s="55">
        <v>1145689</v>
      </c>
      <c r="E253" s="55">
        <v>0</v>
      </c>
      <c r="F253" s="55"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136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7" s="4" customFormat="1" ht="95.45" customHeight="1" x14ac:dyDescent="0.25">
      <c r="A254" s="167" t="s">
        <v>416</v>
      </c>
      <c r="B254" s="16" t="s">
        <v>256</v>
      </c>
      <c r="C254" s="32" t="s">
        <v>266</v>
      </c>
      <c r="D254" s="55">
        <v>4158300</v>
      </c>
      <c r="E254" s="55">
        <v>4158300</v>
      </c>
      <c r="F254" s="55">
        <v>4205100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136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7" s="4" customFormat="1" ht="67.150000000000006" customHeight="1" x14ac:dyDescent="0.25">
      <c r="A255" s="140" t="s">
        <v>452</v>
      </c>
      <c r="B255" s="16" t="s">
        <v>256</v>
      </c>
      <c r="C255" s="32" t="s">
        <v>266</v>
      </c>
      <c r="D255" s="55">
        <v>6025300</v>
      </c>
      <c r="E255" s="55">
        <v>0</v>
      </c>
      <c r="F255" s="55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136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7" s="4" customFormat="1" ht="137.44999999999999" customHeight="1" x14ac:dyDescent="0.25">
      <c r="A256" s="174" t="s">
        <v>332</v>
      </c>
      <c r="B256" s="16" t="s">
        <v>249</v>
      </c>
      <c r="C256" s="32" t="s">
        <v>266</v>
      </c>
      <c r="D256" s="55">
        <v>182080400</v>
      </c>
      <c r="E256" s="55">
        <v>182890800</v>
      </c>
      <c r="F256" s="55">
        <v>182907500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136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53.45" customHeight="1" x14ac:dyDescent="0.25">
      <c r="A257" s="175" t="s">
        <v>270</v>
      </c>
      <c r="B257" s="16" t="s">
        <v>271</v>
      </c>
      <c r="C257" s="32" t="s">
        <v>266</v>
      </c>
      <c r="D257" s="55">
        <f>57656800+43918300-32240000</f>
        <v>69335100</v>
      </c>
      <c r="E257" s="55">
        <v>0</v>
      </c>
      <c r="F257" s="55"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136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67.900000000000006" customHeight="1" x14ac:dyDescent="0.25">
      <c r="A258" s="140" t="s">
        <v>556</v>
      </c>
      <c r="B258" s="16" t="s">
        <v>271</v>
      </c>
      <c r="C258" s="32" t="s">
        <v>266</v>
      </c>
      <c r="D258" s="55">
        <v>337928</v>
      </c>
      <c r="E258" s="55">
        <v>0</v>
      </c>
      <c r="F258" s="55"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136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42" customHeight="1" x14ac:dyDescent="0.25">
      <c r="A259" s="176" t="s">
        <v>400</v>
      </c>
      <c r="B259" s="16" t="s">
        <v>212</v>
      </c>
      <c r="C259" s="32" t="s">
        <v>266</v>
      </c>
      <c r="D259" s="55">
        <v>11611313.800000001</v>
      </c>
      <c r="E259" s="55">
        <v>0</v>
      </c>
      <c r="F259" s="55"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136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39.6" customHeight="1" x14ac:dyDescent="0.25">
      <c r="A260" s="169" t="s">
        <v>272</v>
      </c>
      <c r="B260" s="16" t="s">
        <v>212</v>
      </c>
      <c r="C260" s="32" t="s">
        <v>266</v>
      </c>
      <c r="D260" s="55">
        <f>10000000+5000000</f>
        <v>15000000</v>
      </c>
      <c r="E260" s="55">
        <v>12420900</v>
      </c>
      <c r="F260" s="55">
        <v>12420900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136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54" customHeight="1" x14ac:dyDescent="0.25">
      <c r="A261" s="169" t="s">
        <v>350</v>
      </c>
      <c r="B261" s="16" t="s">
        <v>80</v>
      </c>
      <c r="C261" s="32" t="s">
        <v>266</v>
      </c>
      <c r="D261" s="55">
        <v>0</v>
      </c>
      <c r="E261" s="55">
        <v>2654000</v>
      </c>
      <c r="F261" s="55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136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54.6" customHeight="1" x14ac:dyDescent="0.25">
      <c r="A262" s="169" t="s">
        <v>554</v>
      </c>
      <c r="B262" s="16" t="s">
        <v>80</v>
      </c>
      <c r="C262" s="32" t="s">
        <v>266</v>
      </c>
      <c r="D262" s="55">
        <f>84997600-347000</f>
        <v>84650600</v>
      </c>
      <c r="E262" s="55">
        <v>100000000</v>
      </c>
      <c r="F262" s="55">
        <v>100000000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136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43.9" customHeight="1" x14ac:dyDescent="0.25">
      <c r="A263" s="140" t="s">
        <v>552</v>
      </c>
      <c r="B263" s="16" t="s">
        <v>80</v>
      </c>
      <c r="C263" s="32" t="s">
        <v>266</v>
      </c>
      <c r="D263" s="55">
        <v>40340600</v>
      </c>
      <c r="E263" s="55">
        <v>0</v>
      </c>
      <c r="F263" s="55"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136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135" customHeight="1" x14ac:dyDescent="0.25">
      <c r="A264" s="140" t="s">
        <v>553</v>
      </c>
      <c r="B264" s="16" t="s">
        <v>80</v>
      </c>
      <c r="C264" s="32" t="s">
        <v>266</v>
      </c>
      <c r="D264" s="55">
        <v>3512200</v>
      </c>
      <c r="E264" s="55">
        <v>0</v>
      </c>
      <c r="F264" s="55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136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15" customHeight="1" x14ac:dyDescent="0.25">
      <c r="A265" s="129" t="s">
        <v>273</v>
      </c>
      <c r="B265" s="16" t="s">
        <v>6</v>
      </c>
      <c r="C265" s="17" t="s">
        <v>274</v>
      </c>
      <c r="D265" s="55">
        <f>+D266+D281+D279</f>
        <v>2088327200</v>
      </c>
      <c r="E265" s="55">
        <f t="shared" ref="E265:F265" si="84">+E266+E281+E279</f>
        <v>1844243300</v>
      </c>
      <c r="F265" s="55">
        <f t="shared" si="84"/>
        <v>1844243100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136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30.6" customHeight="1" x14ac:dyDescent="0.25">
      <c r="A266" s="129" t="s">
        <v>275</v>
      </c>
      <c r="B266" s="16" t="s">
        <v>6</v>
      </c>
      <c r="C266" s="16" t="s">
        <v>276</v>
      </c>
      <c r="D266" s="55">
        <f>+D267</f>
        <v>32277400</v>
      </c>
      <c r="E266" s="55">
        <f>+E267</f>
        <v>28215800</v>
      </c>
      <c r="F266" s="55">
        <f>+F267</f>
        <v>28215800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136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1" customFormat="1" ht="30" customHeight="1" x14ac:dyDescent="0.25">
      <c r="A267" s="129" t="s">
        <v>277</v>
      </c>
      <c r="B267" s="16" t="s">
        <v>6</v>
      </c>
      <c r="C267" s="16" t="s">
        <v>278</v>
      </c>
      <c r="D267" s="55">
        <f>SUM(D268:D278)</f>
        <v>32277400</v>
      </c>
      <c r="E267" s="55">
        <f>SUM(E268:E278)</f>
        <v>28215800</v>
      </c>
      <c r="F267" s="55">
        <f>SUM(F268:F278)</f>
        <v>28215800</v>
      </c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137"/>
      <c r="W267" s="40"/>
      <c r="X267" s="40"/>
      <c r="Y267" s="40"/>
      <c r="Z267" s="40"/>
      <c r="AC267" s="42"/>
      <c r="AD267" s="42"/>
      <c r="AE267" s="42"/>
      <c r="AF267" s="42"/>
      <c r="AG267" s="42"/>
      <c r="AH267" s="42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BM267" s="40"/>
      <c r="BN267" s="40"/>
    </row>
    <row r="268" spans="1:66" s="4" customFormat="1" ht="43.15" customHeight="1" x14ac:dyDescent="0.25">
      <c r="A268" s="167" t="s">
        <v>493</v>
      </c>
      <c r="B268" s="16" t="s">
        <v>256</v>
      </c>
      <c r="C268" s="16" t="s">
        <v>278</v>
      </c>
      <c r="D268" s="58">
        <f>13594600-784700</f>
        <v>12809900</v>
      </c>
      <c r="E268" s="58">
        <f>13594600-784700</f>
        <v>12809900</v>
      </c>
      <c r="F268" s="58">
        <f>13594600-784700</f>
        <v>12809900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136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4" customFormat="1" ht="82.15" customHeight="1" x14ac:dyDescent="0.25">
      <c r="A269" s="140" t="s">
        <v>324</v>
      </c>
      <c r="B269" s="16" t="s">
        <v>256</v>
      </c>
      <c r="C269" s="16" t="s">
        <v>278</v>
      </c>
      <c r="D269" s="58">
        <v>80000</v>
      </c>
      <c r="E269" s="58">
        <v>80000</v>
      </c>
      <c r="F269" s="58">
        <v>80000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136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AY269" s="193"/>
      <c r="AZ269" s="193"/>
      <c r="BA269" s="193"/>
      <c r="BB269" s="193"/>
      <c r="BC269" s="193"/>
      <c r="BD269" s="193"/>
      <c r="BM269" s="3"/>
      <c r="BN269" s="3"/>
    </row>
    <row r="270" spans="1:66" s="4" customFormat="1" ht="29.45" customHeight="1" x14ac:dyDescent="0.25">
      <c r="A270" s="177" t="s">
        <v>279</v>
      </c>
      <c r="B270" s="16" t="s">
        <v>256</v>
      </c>
      <c r="C270" s="16" t="s">
        <v>278</v>
      </c>
      <c r="D270" s="58">
        <f>3612000-853300</f>
        <v>2758700</v>
      </c>
      <c r="E270" s="58">
        <f>3612000-853300</f>
        <v>2758700</v>
      </c>
      <c r="F270" s="58">
        <f>3612000-853300</f>
        <v>2758700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136"/>
      <c r="W270" s="3"/>
      <c r="X270" s="3"/>
      <c r="Y270" s="3"/>
      <c r="Z270" s="3"/>
      <c r="AC270" s="5"/>
      <c r="AD270" s="5"/>
      <c r="AE270" s="5"/>
      <c r="AF270" s="5"/>
      <c r="AG270" s="5"/>
      <c r="AH270" s="5"/>
      <c r="AI270" s="3"/>
      <c r="AJ270" s="3"/>
      <c r="AK270" s="3"/>
      <c r="AL270" s="3"/>
      <c r="AM270" s="3"/>
      <c r="AN270" s="3"/>
      <c r="AO270" s="3"/>
      <c r="AP270" s="3"/>
      <c r="AQ270" s="3"/>
      <c r="AR270" s="6"/>
      <c r="AS270" s="6"/>
      <c r="AT270" s="3"/>
      <c r="AU270" s="3"/>
      <c r="AV270" s="3"/>
      <c r="AW270" s="3"/>
      <c r="AZ270" s="194"/>
      <c r="BA270" s="194"/>
      <c r="BB270" s="194"/>
      <c r="BC270" s="194"/>
      <c r="BD270" s="194"/>
      <c r="BE270" s="194"/>
      <c r="BM270" s="3"/>
      <c r="BN270" s="3"/>
    </row>
    <row r="271" spans="1:66" s="41" customFormat="1" ht="43.9" customHeight="1" x14ac:dyDescent="0.25">
      <c r="A271" s="167" t="s">
        <v>280</v>
      </c>
      <c r="B271" s="16" t="s">
        <v>212</v>
      </c>
      <c r="C271" s="16" t="s">
        <v>278</v>
      </c>
      <c r="D271" s="55">
        <f>62200+3300+19900</f>
        <v>85400</v>
      </c>
      <c r="E271" s="55">
        <v>65500</v>
      </c>
      <c r="F271" s="55">
        <v>65500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137"/>
      <c r="W271" s="40"/>
      <c r="X271" s="40"/>
      <c r="Y271" s="40"/>
      <c r="Z271" s="40"/>
      <c r="AC271" s="42"/>
      <c r="AD271" s="42"/>
      <c r="AE271" s="42"/>
      <c r="AF271" s="42"/>
      <c r="AG271" s="42"/>
      <c r="AH271" s="42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BM271" s="40"/>
      <c r="BN271" s="40"/>
    </row>
    <row r="272" spans="1:66" s="41" customFormat="1" ht="27" customHeight="1" x14ac:dyDescent="0.25">
      <c r="A272" s="129" t="s">
        <v>281</v>
      </c>
      <c r="B272" s="16" t="s">
        <v>212</v>
      </c>
      <c r="C272" s="16" t="s">
        <v>278</v>
      </c>
      <c r="D272" s="58">
        <f>182600+59400</f>
        <v>242000</v>
      </c>
      <c r="E272" s="58">
        <v>182600</v>
      </c>
      <c r="F272" s="58">
        <v>182600</v>
      </c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137"/>
      <c r="W272" s="40"/>
      <c r="X272" s="40"/>
      <c r="Y272" s="40"/>
      <c r="Z272" s="40"/>
      <c r="AC272" s="42"/>
      <c r="AD272" s="42"/>
      <c r="AE272" s="42"/>
      <c r="AF272" s="42"/>
      <c r="AG272" s="42"/>
      <c r="AH272" s="42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BM272" s="40"/>
      <c r="BN272" s="40"/>
    </row>
    <row r="273" spans="1:66" s="41" customFormat="1" ht="58.15" customHeight="1" x14ac:dyDescent="0.25">
      <c r="A273" s="167" t="s">
        <v>282</v>
      </c>
      <c r="B273" s="16" t="s">
        <v>212</v>
      </c>
      <c r="C273" s="16" t="s">
        <v>278</v>
      </c>
      <c r="D273" s="60">
        <f>4120800+1387000</f>
        <v>5507800</v>
      </c>
      <c r="E273" s="60">
        <v>4120800</v>
      </c>
      <c r="F273" s="60">
        <v>4120800</v>
      </c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137"/>
      <c r="W273" s="40"/>
      <c r="X273" s="40"/>
      <c r="Y273" s="40"/>
      <c r="Z273" s="40"/>
      <c r="AC273" s="42"/>
      <c r="AD273" s="42"/>
      <c r="AE273" s="42"/>
      <c r="AF273" s="42"/>
      <c r="AG273" s="42"/>
      <c r="AH273" s="42"/>
      <c r="AI273" s="40"/>
      <c r="AJ273" s="40"/>
      <c r="AK273" s="40"/>
      <c r="AL273" s="40"/>
      <c r="AM273" s="40"/>
      <c r="AN273" s="40"/>
      <c r="AO273" s="40"/>
      <c r="AP273" s="40"/>
      <c r="AQ273" s="40"/>
      <c r="AR273" s="40"/>
      <c r="AS273" s="40"/>
      <c r="AT273" s="40"/>
      <c r="AU273" s="40"/>
      <c r="AV273" s="40"/>
      <c r="AW273" s="40"/>
      <c r="BM273" s="40"/>
      <c r="BN273" s="40"/>
    </row>
    <row r="274" spans="1:66" s="4" customFormat="1" ht="57" customHeight="1" x14ac:dyDescent="0.25">
      <c r="A274" s="167" t="s">
        <v>283</v>
      </c>
      <c r="B274" s="16" t="s">
        <v>212</v>
      </c>
      <c r="C274" s="16" t="s">
        <v>278</v>
      </c>
      <c r="D274" s="58">
        <f>3257100+179300+993200</f>
        <v>4429600</v>
      </c>
      <c r="E274" s="58">
        <v>3436400</v>
      </c>
      <c r="F274" s="58">
        <v>3436400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136"/>
      <c r="W274" s="3"/>
      <c r="X274" s="3"/>
      <c r="Y274" s="3"/>
      <c r="Z274" s="3"/>
      <c r="AC274" s="5"/>
      <c r="AD274" s="5"/>
      <c r="AE274" s="5"/>
      <c r="AF274" s="5"/>
      <c r="AG274" s="5"/>
      <c r="AH274" s="5"/>
      <c r="AI274" s="3"/>
      <c r="AJ274" s="3"/>
      <c r="AK274" s="3"/>
      <c r="AL274" s="3"/>
      <c r="AM274" s="3"/>
      <c r="AN274" s="3"/>
      <c r="AO274" s="3"/>
      <c r="AP274" s="3"/>
      <c r="AQ274" s="3"/>
      <c r="AR274" s="6"/>
      <c r="AS274" s="6"/>
      <c r="AT274" s="3"/>
      <c r="AU274" s="3"/>
      <c r="AV274" s="3"/>
      <c r="AW274" s="3"/>
      <c r="BM274" s="3"/>
      <c r="BN274" s="3"/>
    </row>
    <row r="275" spans="1:66" s="41" customFormat="1" ht="30.6" customHeight="1" x14ac:dyDescent="0.25">
      <c r="A275" s="129" t="s">
        <v>284</v>
      </c>
      <c r="B275" s="16" t="s">
        <v>212</v>
      </c>
      <c r="C275" s="16" t="s">
        <v>278</v>
      </c>
      <c r="D275" s="60">
        <f>1077800+385400</f>
        <v>1463200</v>
      </c>
      <c r="E275" s="60">
        <v>1077800</v>
      </c>
      <c r="F275" s="60">
        <v>1077800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137"/>
      <c r="W275" s="40"/>
      <c r="X275" s="40"/>
      <c r="Y275" s="40"/>
      <c r="Z275" s="40"/>
      <c r="AC275" s="42"/>
      <c r="AD275" s="42"/>
      <c r="AE275" s="42"/>
      <c r="AF275" s="42"/>
      <c r="AG275" s="42"/>
      <c r="AH275" s="42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BM275" s="40"/>
      <c r="BN275" s="40"/>
    </row>
    <row r="276" spans="1:66" s="41" customFormat="1" ht="80.45" customHeight="1" x14ac:dyDescent="0.25">
      <c r="A276" s="129" t="s">
        <v>285</v>
      </c>
      <c r="B276" s="16" t="s">
        <v>212</v>
      </c>
      <c r="C276" s="16" t="s">
        <v>278</v>
      </c>
      <c r="D276" s="59">
        <v>700</v>
      </c>
      <c r="E276" s="59">
        <v>700</v>
      </c>
      <c r="F276" s="59">
        <v>700</v>
      </c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137"/>
      <c r="W276" s="40"/>
      <c r="X276" s="40"/>
      <c r="Y276" s="40"/>
      <c r="Z276" s="40"/>
      <c r="AC276" s="42"/>
      <c r="AD276" s="42"/>
      <c r="AE276" s="42"/>
      <c r="AF276" s="42"/>
      <c r="AG276" s="42"/>
      <c r="AH276" s="42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BM276" s="40"/>
      <c r="BN276" s="40"/>
    </row>
    <row r="277" spans="1:66" s="4" customFormat="1" ht="43.9" customHeight="1" x14ac:dyDescent="0.25">
      <c r="A277" s="129" t="s">
        <v>286</v>
      </c>
      <c r="B277" s="16" t="s">
        <v>212</v>
      </c>
      <c r="C277" s="16" t="s">
        <v>278</v>
      </c>
      <c r="D277" s="58">
        <f>2154300+110400+671100</f>
        <v>2935800</v>
      </c>
      <c r="E277" s="58">
        <v>2264700</v>
      </c>
      <c r="F277" s="58">
        <v>2264700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136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" customFormat="1" ht="57" customHeight="1" x14ac:dyDescent="0.25">
      <c r="A278" s="178" t="s">
        <v>311</v>
      </c>
      <c r="B278" s="16" t="s">
        <v>80</v>
      </c>
      <c r="C278" s="16" t="s">
        <v>278</v>
      </c>
      <c r="D278" s="58">
        <f>1320900+97800+545600</f>
        <v>1964300</v>
      </c>
      <c r="E278" s="58">
        <f>1320900+97800</f>
        <v>1418700</v>
      </c>
      <c r="F278" s="58">
        <f>1320900+97800</f>
        <v>1418700</v>
      </c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136"/>
      <c r="W278" s="3"/>
      <c r="X278" s="3"/>
      <c r="Y278" s="3"/>
      <c r="Z278" s="3"/>
      <c r="AC278" s="5"/>
      <c r="AD278" s="5"/>
      <c r="AE278" s="5"/>
      <c r="AF278" s="5"/>
      <c r="AG278" s="5"/>
      <c r="AH278" s="5"/>
      <c r="AI278" s="3"/>
      <c r="AJ278" s="3"/>
      <c r="AK278" s="3"/>
      <c r="AL278" s="3"/>
      <c r="AM278" s="3"/>
      <c r="AN278" s="3"/>
      <c r="AO278" s="3"/>
      <c r="AP278" s="3"/>
      <c r="AQ278" s="3"/>
      <c r="AR278" s="6"/>
      <c r="AS278" s="6"/>
      <c r="AT278" s="3"/>
      <c r="AU278" s="3"/>
      <c r="AV278" s="3"/>
      <c r="AW278" s="3"/>
      <c r="AY278" s="195"/>
      <c r="AZ278" s="195"/>
      <c r="BA278" s="195"/>
      <c r="BB278" s="195"/>
      <c r="BC278" s="195"/>
      <c r="BD278" s="195"/>
      <c r="BM278" s="3"/>
      <c r="BN278" s="3"/>
    </row>
    <row r="279" spans="1:66" s="4" customFormat="1" ht="56.45" customHeight="1" x14ac:dyDescent="0.25">
      <c r="A279" s="129" t="s">
        <v>348</v>
      </c>
      <c r="B279" s="16" t="s">
        <v>6</v>
      </c>
      <c r="C279" s="36" t="s">
        <v>287</v>
      </c>
      <c r="D279" s="58">
        <f>+D280</f>
        <v>11600</v>
      </c>
      <c r="E279" s="58">
        <f>+E280</f>
        <v>1400</v>
      </c>
      <c r="F279" s="58">
        <f>+F280</f>
        <v>1200</v>
      </c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136"/>
      <c r="W279" s="3"/>
      <c r="X279" s="3"/>
      <c r="Y279" s="3"/>
      <c r="Z279" s="3"/>
      <c r="AC279" s="5"/>
      <c r="AD279" s="5"/>
      <c r="AE279" s="5"/>
      <c r="AF279" s="5"/>
      <c r="AG279" s="5"/>
      <c r="AH279" s="5"/>
      <c r="AI279" s="3"/>
      <c r="AJ279" s="3"/>
      <c r="AK279" s="3"/>
      <c r="AL279" s="3"/>
      <c r="AM279" s="3"/>
      <c r="AN279" s="3"/>
      <c r="AO279" s="3"/>
      <c r="AP279" s="3"/>
      <c r="AQ279" s="3"/>
      <c r="AR279" s="6"/>
      <c r="AS279" s="6"/>
      <c r="AT279" s="3"/>
      <c r="AU279" s="3"/>
      <c r="AV279" s="3"/>
      <c r="AW279" s="3"/>
      <c r="BM279" s="3"/>
      <c r="BN279" s="3"/>
    </row>
    <row r="280" spans="1:66" s="4" customFormat="1" ht="53.45" customHeight="1" x14ac:dyDescent="0.25">
      <c r="A280" s="129" t="s">
        <v>288</v>
      </c>
      <c r="B280" s="16" t="s">
        <v>212</v>
      </c>
      <c r="C280" s="36" t="s">
        <v>289</v>
      </c>
      <c r="D280" s="58">
        <f>1300+10300</f>
        <v>11600</v>
      </c>
      <c r="E280" s="58">
        <v>1400</v>
      </c>
      <c r="F280" s="58">
        <v>1200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136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4" customFormat="1" ht="18" customHeight="1" x14ac:dyDescent="0.25">
      <c r="A281" s="129" t="s">
        <v>290</v>
      </c>
      <c r="B281" s="16" t="s">
        <v>6</v>
      </c>
      <c r="C281" s="17" t="s">
        <v>291</v>
      </c>
      <c r="D281" s="55">
        <f>+D282</f>
        <v>2056038200</v>
      </c>
      <c r="E281" s="55">
        <f>+E282</f>
        <v>1816026100</v>
      </c>
      <c r="F281" s="55">
        <f>+F282</f>
        <v>1816026100</v>
      </c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136"/>
      <c r="W281" s="3"/>
      <c r="X281" s="3"/>
      <c r="Y281" s="3"/>
      <c r="Z281" s="3"/>
      <c r="AC281" s="5"/>
      <c r="AD281" s="5"/>
      <c r="AE281" s="5"/>
      <c r="AF281" s="5"/>
      <c r="AG281" s="5"/>
      <c r="AH281" s="5"/>
      <c r="AI281" s="3"/>
      <c r="AJ281" s="3"/>
      <c r="AK281" s="3"/>
      <c r="AL281" s="3"/>
      <c r="AM281" s="3"/>
      <c r="AN281" s="3"/>
      <c r="AO281" s="3"/>
      <c r="AP281" s="3"/>
      <c r="AQ281" s="3"/>
      <c r="AR281" s="6"/>
      <c r="AS281" s="6"/>
      <c r="AT281" s="3"/>
      <c r="AU281" s="3"/>
      <c r="AV281" s="3"/>
      <c r="AW281" s="3"/>
      <c r="BM281" s="3"/>
      <c r="BN281" s="3"/>
    </row>
    <row r="282" spans="1:66" s="4" customFormat="1" ht="19.149999999999999" customHeight="1" x14ac:dyDescent="0.25">
      <c r="A282" s="129" t="s">
        <v>292</v>
      </c>
      <c r="B282" s="16" t="s">
        <v>6</v>
      </c>
      <c r="C282" s="17" t="s">
        <v>293</v>
      </c>
      <c r="D282" s="55">
        <f t="shared" ref="D282:F282" si="85">+D283+D284</f>
        <v>2056038200</v>
      </c>
      <c r="E282" s="55">
        <f t="shared" si="85"/>
        <v>1816026100</v>
      </c>
      <c r="F282" s="55">
        <f t="shared" si="85"/>
        <v>1816026100</v>
      </c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136"/>
      <c r="W282" s="3"/>
      <c r="X282" s="3"/>
      <c r="Y282" s="3"/>
      <c r="Z282" s="3"/>
      <c r="AC282" s="5"/>
      <c r="AD282" s="5"/>
      <c r="AE282" s="5"/>
      <c r="AF282" s="5"/>
      <c r="AG282" s="5"/>
      <c r="AH282" s="5"/>
      <c r="AI282" s="3"/>
      <c r="AJ282" s="3"/>
      <c r="AK282" s="3"/>
      <c r="AL282" s="3"/>
      <c r="AM282" s="3"/>
      <c r="AN282" s="3"/>
      <c r="AO282" s="3"/>
      <c r="AP282" s="3"/>
      <c r="AQ282" s="3"/>
      <c r="AR282" s="6"/>
      <c r="AS282" s="6"/>
      <c r="AT282" s="3"/>
      <c r="AU282" s="3"/>
      <c r="AV282" s="3"/>
      <c r="AW282" s="3"/>
      <c r="BM282" s="3"/>
      <c r="BN282" s="3"/>
    </row>
    <row r="283" spans="1:66" s="4" customFormat="1" ht="82.15" customHeight="1" x14ac:dyDescent="0.25">
      <c r="A283" s="167" t="s">
        <v>294</v>
      </c>
      <c r="B283" s="16" t="s">
        <v>256</v>
      </c>
      <c r="C283" s="17" t="s">
        <v>295</v>
      </c>
      <c r="D283" s="56">
        <f>929178000+58752700</f>
        <v>987930700</v>
      </c>
      <c r="E283" s="56">
        <v>863674800</v>
      </c>
      <c r="F283" s="56">
        <v>863674800</v>
      </c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136"/>
      <c r="W283" s="3"/>
      <c r="X283" s="3"/>
      <c r="Y283" s="3"/>
      <c r="Z283" s="3"/>
      <c r="AC283" s="5"/>
      <c r="AD283" s="5"/>
      <c r="AE283" s="5"/>
      <c r="AF283" s="5"/>
      <c r="AG283" s="5"/>
      <c r="AH283" s="5"/>
      <c r="AI283" s="3"/>
      <c r="AJ283" s="3"/>
      <c r="AK283" s="3"/>
      <c r="AL283" s="3"/>
      <c r="AM283" s="3"/>
      <c r="AN283" s="3"/>
      <c r="AO283" s="3"/>
      <c r="AP283" s="3"/>
      <c r="AQ283" s="3"/>
      <c r="AR283" s="6"/>
      <c r="AS283" s="6"/>
      <c r="AT283" s="3"/>
      <c r="AU283" s="3"/>
      <c r="AV283" s="3"/>
      <c r="AW283" s="3"/>
      <c r="BM283" s="3"/>
      <c r="BN283" s="3"/>
    </row>
    <row r="284" spans="1:66" s="4" customFormat="1" ht="57" customHeight="1" x14ac:dyDescent="0.25">
      <c r="A284" s="167" t="s">
        <v>296</v>
      </c>
      <c r="B284" s="16" t="s">
        <v>256</v>
      </c>
      <c r="C284" s="17" t="s">
        <v>293</v>
      </c>
      <c r="D284" s="56">
        <f>1020012200+48095300</f>
        <v>1068107500</v>
      </c>
      <c r="E284" s="56">
        <v>952351300</v>
      </c>
      <c r="F284" s="56">
        <v>952351300</v>
      </c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136"/>
      <c r="W284" s="3"/>
      <c r="X284" s="3"/>
      <c r="Y284" s="3"/>
      <c r="Z284" s="3"/>
      <c r="AC284" s="5"/>
      <c r="AD284" s="5"/>
      <c r="AE284" s="5"/>
      <c r="AF284" s="5"/>
      <c r="AG284" s="5"/>
      <c r="AH284" s="5"/>
      <c r="AI284" s="3"/>
      <c r="AJ284" s="3"/>
      <c r="AK284" s="3"/>
      <c r="AL284" s="3"/>
      <c r="AM284" s="3"/>
      <c r="AN284" s="3"/>
      <c r="AO284" s="3"/>
      <c r="AP284" s="3"/>
      <c r="AQ284" s="3"/>
      <c r="AR284" s="6"/>
      <c r="AS284" s="6"/>
      <c r="AT284" s="3"/>
      <c r="AU284" s="3"/>
      <c r="AV284" s="3"/>
      <c r="AW284" s="3"/>
      <c r="BM284" s="3"/>
      <c r="BN284" s="3"/>
    </row>
    <row r="285" spans="1:66" s="4" customFormat="1" ht="16.899999999999999" customHeight="1" x14ac:dyDescent="0.25">
      <c r="A285" s="167" t="s">
        <v>417</v>
      </c>
      <c r="B285" s="16" t="s">
        <v>6</v>
      </c>
      <c r="C285" s="17" t="s">
        <v>418</v>
      </c>
      <c r="D285" s="56">
        <f>+D286+D288+D290+D292</f>
        <v>76707100</v>
      </c>
      <c r="E285" s="56">
        <f t="shared" ref="E285:F285" si="86">+E286+E288+E290+E292</f>
        <v>61271900</v>
      </c>
      <c r="F285" s="56">
        <f t="shared" si="86"/>
        <v>61271900</v>
      </c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136"/>
      <c r="W285" s="3"/>
      <c r="X285" s="3"/>
      <c r="Y285" s="3"/>
      <c r="Z285" s="3"/>
      <c r="AC285" s="5"/>
      <c r="AD285" s="5"/>
      <c r="AE285" s="5"/>
      <c r="AF285" s="5"/>
      <c r="AG285" s="5"/>
      <c r="AH285" s="5"/>
      <c r="AI285" s="3"/>
      <c r="AJ285" s="3"/>
      <c r="AK285" s="3"/>
      <c r="AL285" s="3"/>
      <c r="AM285" s="3"/>
      <c r="AN285" s="3"/>
      <c r="AO285" s="3"/>
      <c r="AP285" s="3"/>
      <c r="AQ285" s="3"/>
      <c r="AR285" s="6"/>
      <c r="AS285" s="6"/>
      <c r="AT285" s="3"/>
      <c r="AU285" s="3"/>
      <c r="AV285" s="3"/>
      <c r="AW285" s="3"/>
      <c r="BM285" s="3"/>
      <c r="BN285" s="3"/>
    </row>
    <row r="286" spans="1:66" s="4" customFormat="1" ht="68.45" customHeight="1" x14ac:dyDescent="0.25">
      <c r="A286" s="167" t="s">
        <v>424</v>
      </c>
      <c r="B286" s="16" t="s">
        <v>6</v>
      </c>
      <c r="C286" s="75" t="s">
        <v>420</v>
      </c>
      <c r="D286" s="56">
        <f>+D287</f>
        <v>5673900</v>
      </c>
      <c r="E286" s="56">
        <f t="shared" ref="E286:F286" si="87">+E287</f>
        <v>5588000</v>
      </c>
      <c r="F286" s="56">
        <f t="shared" si="87"/>
        <v>5588000</v>
      </c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136"/>
      <c r="W286" s="3"/>
      <c r="X286" s="3"/>
      <c r="Y286" s="3"/>
      <c r="Z286" s="3"/>
      <c r="AC286" s="5"/>
      <c r="AD286" s="5"/>
      <c r="AE286" s="5"/>
      <c r="AF286" s="5"/>
      <c r="AG286" s="5"/>
      <c r="AH286" s="5"/>
      <c r="AI286" s="3"/>
      <c r="AJ286" s="3"/>
      <c r="AK286" s="3"/>
      <c r="AL286" s="3"/>
      <c r="AM286" s="3"/>
      <c r="AN286" s="3"/>
      <c r="AO286" s="3"/>
      <c r="AP286" s="3"/>
      <c r="AQ286" s="3"/>
      <c r="AR286" s="6"/>
      <c r="AS286" s="6"/>
      <c r="AT286" s="3"/>
      <c r="AU286" s="3"/>
      <c r="AV286" s="3"/>
      <c r="AW286" s="3"/>
      <c r="BM286" s="3"/>
      <c r="BN286" s="3"/>
    </row>
    <row r="287" spans="1:66" s="4" customFormat="1" ht="67.900000000000006" customHeight="1" x14ac:dyDescent="0.25">
      <c r="A287" s="167" t="s">
        <v>419</v>
      </c>
      <c r="B287" s="16" t="s">
        <v>256</v>
      </c>
      <c r="C287" s="75" t="s">
        <v>421</v>
      </c>
      <c r="D287" s="56">
        <v>5673900</v>
      </c>
      <c r="E287" s="56">
        <v>5588000</v>
      </c>
      <c r="F287" s="56">
        <v>5588000</v>
      </c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136"/>
      <c r="W287" s="3"/>
      <c r="X287" s="3"/>
      <c r="Y287" s="3"/>
      <c r="Z287" s="3"/>
      <c r="AC287" s="5"/>
      <c r="AD287" s="5"/>
      <c r="AE287" s="5"/>
      <c r="AF287" s="5"/>
      <c r="AG287" s="5"/>
      <c r="AH287" s="5"/>
      <c r="AI287" s="3"/>
      <c r="AJ287" s="3"/>
      <c r="AK287" s="3"/>
      <c r="AL287" s="3"/>
      <c r="AM287" s="3"/>
      <c r="AN287" s="3"/>
      <c r="AO287" s="3"/>
      <c r="AP287" s="3"/>
      <c r="AQ287" s="3"/>
      <c r="AR287" s="6"/>
      <c r="AS287" s="6"/>
      <c r="AT287" s="3"/>
      <c r="AU287" s="3"/>
      <c r="AV287" s="3"/>
      <c r="AW287" s="3"/>
      <c r="BM287" s="3"/>
      <c r="BN287" s="3"/>
    </row>
    <row r="288" spans="1:66" s="4" customFormat="1" ht="98.45" customHeight="1" x14ac:dyDescent="0.25">
      <c r="A288" s="129" t="s">
        <v>426</v>
      </c>
      <c r="B288" s="16" t="s">
        <v>6</v>
      </c>
      <c r="C288" s="17" t="s">
        <v>422</v>
      </c>
      <c r="D288" s="56">
        <f>+D289</f>
        <v>55683900</v>
      </c>
      <c r="E288" s="56">
        <f t="shared" ref="E288:F288" si="88">+E289</f>
        <v>55683900</v>
      </c>
      <c r="F288" s="56">
        <f t="shared" si="88"/>
        <v>55683900</v>
      </c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136"/>
      <c r="W288" s="3"/>
      <c r="X288" s="3"/>
      <c r="Y288" s="3"/>
      <c r="Z288" s="3"/>
      <c r="AC288" s="5"/>
      <c r="AD288" s="5"/>
      <c r="AE288" s="5"/>
      <c r="AF288" s="5"/>
      <c r="AG288" s="5"/>
      <c r="AH288" s="5"/>
      <c r="AI288" s="3"/>
      <c r="AJ288" s="3"/>
      <c r="AK288" s="3"/>
      <c r="AL288" s="3"/>
      <c r="AM288" s="3"/>
      <c r="AN288" s="3"/>
      <c r="AO288" s="3"/>
      <c r="AP288" s="3"/>
      <c r="AQ288" s="3"/>
      <c r="AR288" s="6"/>
      <c r="AS288" s="6"/>
      <c r="AT288" s="3"/>
      <c r="AU288" s="3"/>
      <c r="AV288" s="3"/>
      <c r="AW288" s="3"/>
      <c r="BM288" s="3"/>
      <c r="BN288" s="3"/>
    </row>
    <row r="289" spans="1:66" s="4" customFormat="1" ht="97.15" customHeight="1" x14ac:dyDescent="0.25">
      <c r="A289" s="129" t="s">
        <v>425</v>
      </c>
      <c r="B289" s="16" t="s">
        <v>256</v>
      </c>
      <c r="C289" s="17" t="s">
        <v>423</v>
      </c>
      <c r="D289" s="56">
        <v>55683900</v>
      </c>
      <c r="E289" s="56">
        <v>55683900</v>
      </c>
      <c r="F289" s="56">
        <v>55683900</v>
      </c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136"/>
      <c r="W289" s="3"/>
      <c r="X289" s="3"/>
      <c r="Y289" s="3"/>
      <c r="Z289" s="3"/>
      <c r="AC289" s="5"/>
      <c r="AD289" s="5"/>
      <c r="AE289" s="5"/>
      <c r="AF289" s="5"/>
      <c r="AG289" s="5"/>
      <c r="AH289" s="5"/>
      <c r="AI289" s="3"/>
      <c r="AJ289" s="3"/>
      <c r="AK289" s="3"/>
      <c r="AL289" s="3"/>
      <c r="AM289" s="3"/>
      <c r="AN289" s="3"/>
      <c r="AO289" s="3"/>
      <c r="AP289" s="3"/>
      <c r="AQ289" s="3"/>
      <c r="AR289" s="6"/>
      <c r="AS289" s="6"/>
      <c r="AT289" s="3"/>
      <c r="AU289" s="3"/>
      <c r="AV289" s="3"/>
      <c r="AW289" s="3"/>
      <c r="BM289" s="3"/>
      <c r="BN289" s="3"/>
    </row>
    <row r="290" spans="1:66" s="4" customFormat="1" ht="57" customHeight="1" x14ac:dyDescent="0.25">
      <c r="A290" s="129" t="s">
        <v>458</v>
      </c>
      <c r="B290" s="16" t="s">
        <v>6</v>
      </c>
      <c r="C290" s="17" t="s">
        <v>459</v>
      </c>
      <c r="D290" s="56">
        <f>+D291</f>
        <v>6907100</v>
      </c>
      <c r="E290" s="56">
        <f t="shared" ref="E290:F290" si="89">+E291</f>
        <v>0</v>
      </c>
      <c r="F290" s="56">
        <f t="shared" si="89"/>
        <v>0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136"/>
      <c r="W290" s="3"/>
      <c r="X290" s="3"/>
      <c r="Y290" s="3"/>
      <c r="Z290" s="3"/>
      <c r="AC290" s="5"/>
      <c r="AD290" s="5"/>
      <c r="AE290" s="5"/>
      <c r="AF290" s="5"/>
      <c r="AG290" s="5"/>
      <c r="AH290" s="5"/>
      <c r="AI290" s="3"/>
      <c r="AJ290" s="3"/>
      <c r="AK290" s="3"/>
      <c r="AL290" s="3"/>
      <c r="AM290" s="3"/>
      <c r="AN290" s="3"/>
      <c r="AO290" s="3"/>
      <c r="AP290" s="3"/>
      <c r="AQ290" s="3"/>
      <c r="AR290" s="6"/>
      <c r="AS290" s="6"/>
      <c r="AT290" s="3"/>
      <c r="AU290" s="3"/>
      <c r="AV290" s="3"/>
      <c r="AW290" s="3"/>
      <c r="BM290" s="3"/>
      <c r="BN290" s="3"/>
    </row>
    <row r="291" spans="1:66" s="4" customFormat="1" ht="63.75" x14ac:dyDescent="0.25">
      <c r="A291" s="129" t="s">
        <v>456</v>
      </c>
      <c r="B291" s="16" t="s">
        <v>80</v>
      </c>
      <c r="C291" s="17" t="s">
        <v>457</v>
      </c>
      <c r="D291" s="56">
        <v>6907100</v>
      </c>
      <c r="E291" s="56">
        <v>0</v>
      </c>
      <c r="F291" s="56">
        <v>0</v>
      </c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136"/>
      <c r="W291" s="3"/>
      <c r="X291" s="3"/>
      <c r="Y291" s="3"/>
      <c r="Z291" s="3"/>
      <c r="AC291" s="5"/>
      <c r="AD291" s="5"/>
      <c r="AE291" s="5"/>
      <c r="AF291" s="5"/>
      <c r="AG291" s="5"/>
      <c r="AH291" s="5"/>
      <c r="AI291" s="3"/>
      <c r="AJ291" s="3"/>
      <c r="AK291" s="3"/>
      <c r="AL291" s="3"/>
      <c r="AM291" s="3"/>
      <c r="AN291" s="3"/>
      <c r="AO291" s="3"/>
      <c r="AP291" s="3"/>
      <c r="AQ291" s="3"/>
      <c r="AR291" s="6"/>
      <c r="AS291" s="6"/>
      <c r="AT291" s="3"/>
      <c r="AU291" s="3"/>
      <c r="AV291" s="3"/>
      <c r="AW291" s="3"/>
      <c r="BM291" s="3"/>
      <c r="BN291" s="3"/>
    </row>
    <row r="292" spans="1:66" s="4" customFormat="1" x14ac:dyDescent="0.25">
      <c r="A292" s="142" t="s">
        <v>494</v>
      </c>
      <c r="B292" s="16" t="s">
        <v>6</v>
      </c>
      <c r="C292" s="72" t="s">
        <v>496</v>
      </c>
      <c r="D292" s="56">
        <f>+D293</f>
        <v>8442200</v>
      </c>
      <c r="E292" s="56">
        <f t="shared" ref="E292:F292" si="90">+E293</f>
        <v>0</v>
      </c>
      <c r="F292" s="56">
        <f t="shared" si="90"/>
        <v>0</v>
      </c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136"/>
      <c r="W292" s="3"/>
      <c r="X292" s="3"/>
      <c r="Y292" s="3"/>
      <c r="Z292" s="3"/>
      <c r="AC292" s="5"/>
      <c r="AD292" s="5"/>
      <c r="AE292" s="5"/>
      <c r="AF292" s="5"/>
      <c r="AG292" s="5"/>
      <c r="AH292" s="5"/>
      <c r="AI292" s="3"/>
      <c r="AJ292" s="3"/>
      <c r="AK292" s="3"/>
      <c r="AL292" s="3"/>
      <c r="AM292" s="3"/>
      <c r="AN292" s="3"/>
      <c r="AO292" s="3"/>
      <c r="AP292" s="3"/>
      <c r="AQ292" s="3"/>
      <c r="AR292" s="6"/>
      <c r="AS292" s="6"/>
      <c r="AT292" s="3"/>
      <c r="AU292" s="3"/>
      <c r="AV292" s="3"/>
      <c r="AW292" s="3"/>
      <c r="BM292" s="3"/>
      <c r="BN292" s="3"/>
    </row>
    <row r="293" spans="1:66" s="4" customFormat="1" ht="99" customHeight="1" x14ac:dyDescent="0.25">
      <c r="A293" s="142" t="s">
        <v>555</v>
      </c>
      <c r="B293" s="16" t="s">
        <v>249</v>
      </c>
      <c r="C293" s="72" t="s">
        <v>497</v>
      </c>
      <c r="D293" s="161">
        <v>8442200</v>
      </c>
      <c r="E293" s="56">
        <v>0</v>
      </c>
      <c r="F293" s="56">
        <v>0</v>
      </c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136"/>
      <c r="W293" s="3"/>
      <c r="X293" s="3"/>
      <c r="Y293" s="3"/>
      <c r="Z293" s="3"/>
      <c r="AC293" s="5"/>
      <c r="AD293" s="5"/>
      <c r="AE293" s="5"/>
      <c r="AF293" s="5"/>
      <c r="AG293" s="5"/>
      <c r="AH293" s="5"/>
      <c r="AI293" s="3"/>
      <c r="AJ293" s="3"/>
      <c r="AK293" s="3"/>
      <c r="AL293" s="3"/>
      <c r="AM293" s="3"/>
      <c r="AN293" s="3"/>
      <c r="AO293" s="3"/>
      <c r="AP293" s="3"/>
      <c r="AQ293" s="3"/>
      <c r="AR293" s="6"/>
      <c r="AS293" s="6"/>
      <c r="AT293" s="3"/>
      <c r="AU293" s="3"/>
      <c r="AV293" s="3"/>
      <c r="AW293" s="3"/>
      <c r="BM293" s="3"/>
      <c r="BN293" s="3"/>
    </row>
    <row r="294" spans="1:66" s="4" customFormat="1" ht="43.15" customHeight="1" x14ac:dyDescent="0.25">
      <c r="A294" s="142" t="s">
        <v>377</v>
      </c>
      <c r="B294" s="16" t="s">
        <v>6</v>
      </c>
      <c r="C294" s="72" t="s">
        <v>378</v>
      </c>
      <c r="D294" s="56">
        <f>+D295</f>
        <v>327119.12</v>
      </c>
      <c r="E294" s="56">
        <f t="shared" ref="E294:F294" si="91">+E295</f>
        <v>0</v>
      </c>
      <c r="F294" s="56">
        <f t="shared" si="91"/>
        <v>0</v>
      </c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136"/>
      <c r="W294" s="3"/>
      <c r="X294" s="3"/>
      <c r="Y294" s="3"/>
      <c r="Z294" s="3"/>
      <c r="AC294" s="5"/>
      <c r="AD294" s="5"/>
      <c r="AE294" s="5"/>
      <c r="AF294" s="5"/>
      <c r="AG294" s="5"/>
      <c r="AH294" s="5"/>
      <c r="AI294" s="3"/>
      <c r="AJ294" s="3"/>
      <c r="AK294" s="3"/>
      <c r="AL294" s="3"/>
      <c r="AM294" s="3"/>
      <c r="AN294" s="3"/>
      <c r="AO294" s="3"/>
      <c r="AP294" s="3"/>
      <c r="AQ294" s="3"/>
      <c r="AR294" s="6"/>
      <c r="AS294" s="6"/>
      <c r="AT294" s="3"/>
      <c r="AU294" s="3"/>
      <c r="AV294" s="3"/>
      <c r="AW294" s="3"/>
      <c r="BM294" s="3"/>
      <c r="BN294" s="3"/>
    </row>
    <row r="295" spans="1:66" s="4" customFormat="1" ht="69" customHeight="1" x14ac:dyDescent="0.25">
      <c r="A295" s="142" t="s">
        <v>379</v>
      </c>
      <c r="B295" s="16" t="s">
        <v>6</v>
      </c>
      <c r="C295" s="72" t="s">
        <v>380</v>
      </c>
      <c r="D295" s="56">
        <f>+D296</f>
        <v>327119.12</v>
      </c>
      <c r="E295" s="56">
        <f t="shared" ref="E295:F295" si="92">+E296</f>
        <v>0</v>
      </c>
      <c r="F295" s="56">
        <f t="shared" si="92"/>
        <v>0</v>
      </c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136"/>
      <c r="W295" s="3"/>
      <c r="X295" s="3"/>
      <c r="Y295" s="3"/>
      <c r="Z295" s="3"/>
      <c r="AC295" s="5"/>
      <c r="AD295" s="5"/>
      <c r="AE295" s="5"/>
      <c r="AF295" s="5"/>
      <c r="AG295" s="5"/>
      <c r="AH295" s="5"/>
      <c r="AI295" s="3"/>
      <c r="AJ295" s="3"/>
      <c r="AK295" s="3"/>
      <c r="AL295" s="3"/>
      <c r="AM295" s="3"/>
      <c r="AN295" s="3"/>
      <c r="AO295" s="3"/>
      <c r="AP295" s="3"/>
      <c r="AQ295" s="3"/>
      <c r="AR295" s="6"/>
      <c r="AS295" s="6"/>
      <c r="AT295" s="3"/>
      <c r="AU295" s="3"/>
      <c r="AV295" s="3"/>
      <c r="AW295" s="3"/>
      <c r="BM295" s="3"/>
      <c r="BN295" s="3"/>
    </row>
    <row r="296" spans="1:66" s="4" customFormat="1" ht="70.150000000000006" customHeight="1" x14ac:dyDescent="0.25">
      <c r="A296" s="142" t="s">
        <v>381</v>
      </c>
      <c r="B296" s="16" t="s">
        <v>6</v>
      </c>
      <c r="C296" s="72" t="s">
        <v>382</v>
      </c>
      <c r="D296" s="56">
        <f>+D297</f>
        <v>327119.12</v>
      </c>
      <c r="E296" s="56">
        <f t="shared" ref="E296:F296" si="93">+E297</f>
        <v>0</v>
      </c>
      <c r="F296" s="56">
        <f t="shared" si="93"/>
        <v>0</v>
      </c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136"/>
      <c r="W296" s="3"/>
      <c r="X296" s="3"/>
      <c r="Y296" s="3"/>
      <c r="Z296" s="3"/>
      <c r="AC296" s="5"/>
      <c r="AD296" s="5"/>
      <c r="AE296" s="5"/>
      <c r="AF296" s="5"/>
      <c r="AG296" s="5"/>
      <c r="AH296" s="5"/>
      <c r="AI296" s="3"/>
      <c r="AJ296" s="3"/>
      <c r="AK296" s="3"/>
      <c r="AL296" s="3"/>
      <c r="AM296" s="3"/>
      <c r="AN296" s="3"/>
      <c r="AO296" s="3"/>
      <c r="AP296" s="3"/>
      <c r="AQ296" s="3"/>
      <c r="AR296" s="6"/>
      <c r="AS296" s="6"/>
      <c r="AT296" s="3"/>
      <c r="AU296" s="3"/>
      <c r="AV296" s="3"/>
      <c r="AW296" s="3"/>
      <c r="BM296" s="3"/>
      <c r="BN296" s="3"/>
    </row>
    <row r="297" spans="1:66" s="4" customFormat="1" ht="28.15" customHeight="1" x14ac:dyDescent="0.25">
      <c r="A297" s="142" t="s">
        <v>383</v>
      </c>
      <c r="B297" s="16" t="s">
        <v>6</v>
      </c>
      <c r="C297" s="72" t="s">
        <v>384</v>
      </c>
      <c r="D297" s="56">
        <f>+D298+D299+D300</f>
        <v>327119.12</v>
      </c>
      <c r="E297" s="56">
        <f t="shared" ref="E297:F297" si="94">+E298+E299+E300</f>
        <v>0</v>
      </c>
      <c r="F297" s="56">
        <f t="shared" si="94"/>
        <v>0</v>
      </c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136"/>
      <c r="W297" s="3"/>
      <c r="X297" s="3"/>
      <c r="Y297" s="3"/>
      <c r="Z297" s="3"/>
      <c r="AC297" s="5"/>
      <c r="AD297" s="5"/>
      <c r="AE297" s="5"/>
      <c r="AF297" s="5"/>
      <c r="AG297" s="5"/>
      <c r="AH297" s="5"/>
      <c r="AI297" s="3"/>
      <c r="AJ297" s="3"/>
      <c r="AK297" s="3"/>
      <c r="AL297" s="3"/>
      <c r="AM297" s="3"/>
      <c r="AN297" s="3"/>
      <c r="AO297" s="3"/>
      <c r="AP297" s="3"/>
      <c r="AQ297" s="3"/>
      <c r="AR297" s="6"/>
      <c r="AS297" s="6"/>
      <c r="AT297" s="3"/>
      <c r="AU297" s="3"/>
      <c r="AV297" s="3"/>
      <c r="AW297" s="3"/>
      <c r="BM297" s="3"/>
      <c r="BN297" s="3"/>
    </row>
    <row r="298" spans="1:66" s="4" customFormat="1" ht="33" customHeight="1" x14ac:dyDescent="0.25">
      <c r="A298" s="160" t="s">
        <v>429</v>
      </c>
      <c r="B298" s="16" t="s">
        <v>256</v>
      </c>
      <c r="C298" s="72" t="s">
        <v>430</v>
      </c>
      <c r="D298" s="56">
        <f>9938+9885.2+61859.3+637.8+2251.32+3522.13</f>
        <v>88093.750000000015</v>
      </c>
      <c r="E298" s="56">
        <v>0</v>
      </c>
      <c r="F298" s="56">
        <v>0</v>
      </c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136"/>
      <c r="W298" s="3"/>
      <c r="X298" s="3"/>
      <c r="Y298" s="3"/>
      <c r="Z298" s="3"/>
      <c r="AC298" s="5"/>
      <c r="AD298" s="5"/>
      <c r="AE298" s="5"/>
      <c r="AF298" s="5"/>
      <c r="AG298" s="5"/>
      <c r="AH298" s="5"/>
      <c r="AI298" s="3"/>
      <c r="AJ298" s="3"/>
      <c r="AK298" s="3"/>
      <c r="AL298" s="3"/>
      <c r="AM298" s="3"/>
      <c r="AN298" s="3"/>
      <c r="AO298" s="3"/>
      <c r="AP298" s="3"/>
      <c r="AQ298" s="3"/>
      <c r="AR298" s="6"/>
      <c r="AS298" s="6"/>
      <c r="AT298" s="3"/>
      <c r="AU298" s="3"/>
      <c r="AV298" s="3"/>
      <c r="AW298" s="3"/>
      <c r="BM298" s="3"/>
      <c r="BN298" s="3"/>
    </row>
    <row r="299" spans="1:66" s="4" customFormat="1" ht="28.9" customHeight="1" x14ac:dyDescent="0.25">
      <c r="A299" s="142" t="s">
        <v>386</v>
      </c>
      <c r="B299" s="16" t="s">
        <v>271</v>
      </c>
      <c r="C299" s="72" t="s">
        <v>385</v>
      </c>
      <c r="D299" s="56">
        <f>60781.97+167772.58</f>
        <v>228554.55</v>
      </c>
      <c r="E299" s="56">
        <v>0</v>
      </c>
      <c r="F299" s="56">
        <v>0</v>
      </c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136"/>
      <c r="W299" s="3"/>
      <c r="X299" s="3"/>
      <c r="Y299" s="3"/>
      <c r="Z299" s="3"/>
      <c r="AC299" s="5"/>
      <c r="AD299" s="5"/>
      <c r="AE299" s="5"/>
      <c r="AF299" s="5"/>
      <c r="AG299" s="5"/>
      <c r="AH299" s="5"/>
      <c r="AI299" s="3"/>
      <c r="AJ299" s="3"/>
      <c r="AK299" s="3"/>
      <c r="AL299" s="3"/>
      <c r="AM299" s="3"/>
      <c r="AN299" s="3"/>
      <c r="AO299" s="3"/>
      <c r="AP299" s="3"/>
      <c r="AQ299" s="3"/>
      <c r="AR299" s="6"/>
      <c r="AS299" s="6"/>
      <c r="AT299" s="3"/>
      <c r="AU299" s="3"/>
      <c r="AV299" s="3"/>
      <c r="AW299" s="3"/>
      <c r="BM299" s="3"/>
      <c r="BN299" s="3"/>
    </row>
    <row r="300" spans="1:66" s="4" customFormat="1" ht="30.6" customHeight="1" x14ac:dyDescent="0.25">
      <c r="A300" s="142" t="s">
        <v>386</v>
      </c>
      <c r="B300" s="16" t="s">
        <v>212</v>
      </c>
      <c r="C300" s="72" t="s">
        <v>385</v>
      </c>
      <c r="D300" s="56">
        <f>5000+63.63+232.68+5174.51</f>
        <v>10470.82</v>
      </c>
      <c r="E300" s="56">
        <v>0</v>
      </c>
      <c r="F300" s="56">
        <v>0</v>
      </c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136"/>
      <c r="W300" s="3"/>
      <c r="X300" s="3"/>
      <c r="Y300" s="3"/>
      <c r="Z300" s="3"/>
      <c r="AC300" s="5"/>
      <c r="AD300" s="5"/>
      <c r="AE300" s="5"/>
      <c r="AF300" s="5"/>
      <c r="AG300" s="5"/>
      <c r="AH300" s="5"/>
      <c r="AI300" s="3"/>
      <c r="AJ300" s="3"/>
      <c r="AK300" s="3"/>
      <c r="AL300" s="3"/>
      <c r="AM300" s="3"/>
      <c r="AN300" s="3"/>
      <c r="AO300" s="3"/>
      <c r="AP300" s="3"/>
      <c r="AQ300" s="3"/>
      <c r="AR300" s="6"/>
      <c r="AS300" s="6"/>
      <c r="AT300" s="3"/>
      <c r="AU300" s="3"/>
      <c r="AV300" s="3"/>
      <c r="AW300" s="3"/>
      <c r="BM300" s="3"/>
      <c r="BN300" s="3"/>
    </row>
    <row r="301" spans="1:66" s="4" customFormat="1" ht="31.9" customHeight="1" x14ac:dyDescent="0.25">
      <c r="A301" s="169" t="s">
        <v>387</v>
      </c>
      <c r="B301" s="16" t="s">
        <v>6</v>
      </c>
      <c r="C301" s="73" t="s">
        <v>388</v>
      </c>
      <c r="D301" s="56">
        <f>+D302</f>
        <v>-338001.59</v>
      </c>
      <c r="E301" s="56">
        <f t="shared" ref="E301:F301" si="95">+E302</f>
        <v>0</v>
      </c>
      <c r="F301" s="56">
        <f t="shared" si="95"/>
        <v>0</v>
      </c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136"/>
      <c r="W301" s="3"/>
      <c r="X301" s="3"/>
      <c r="Y301" s="3"/>
      <c r="Z301" s="3"/>
      <c r="AC301" s="5"/>
      <c r="AD301" s="5"/>
      <c r="AE301" s="5"/>
      <c r="AF301" s="5"/>
      <c r="AG301" s="5"/>
      <c r="AH301" s="5"/>
      <c r="AI301" s="3"/>
      <c r="AJ301" s="3"/>
      <c r="AK301" s="3"/>
      <c r="AL301" s="3"/>
      <c r="AM301" s="3"/>
      <c r="AN301" s="3"/>
      <c r="AO301" s="3"/>
      <c r="AP301" s="3"/>
      <c r="AQ301" s="3"/>
      <c r="AR301" s="6"/>
      <c r="AS301" s="6"/>
      <c r="AT301" s="3"/>
      <c r="AU301" s="3"/>
      <c r="AV301" s="3"/>
      <c r="AW301" s="3"/>
      <c r="BM301" s="3"/>
      <c r="BN301" s="3"/>
    </row>
    <row r="302" spans="1:66" s="4" customFormat="1" ht="43.9" customHeight="1" x14ac:dyDescent="0.25">
      <c r="A302" s="169" t="s">
        <v>389</v>
      </c>
      <c r="B302" s="16" t="s">
        <v>6</v>
      </c>
      <c r="C302" s="73" t="s">
        <v>390</v>
      </c>
      <c r="D302" s="56">
        <f>+D303+D304+D305+D306</f>
        <v>-338001.59</v>
      </c>
      <c r="E302" s="56">
        <f t="shared" ref="E302:F302" si="96">+E303+E304+E305+E306</f>
        <v>0</v>
      </c>
      <c r="F302" s="56">
        <f t="shared" si="96"/>
        <v>0</v>
      </c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136"/>
      <c r="W302" s="3"/>
      <c r="X302" s="3"/>
      <c r="Y302" s="3"/>
      <c r="Z302" s="3"/>
      <c r="AC302" s="5"/>
      <c r="AD302" s="5"/>
      <c r="AE302" s="5"/>
      <c r="AF302" s="5"/>
      <c r="AG302" s="5"/>
      <c r="AH302" s="5"/>
      <c r="AI302" s="3"/>
      <c r="AJ302" s="3"/>
      <c r="AK302" s="3"/>
      <c r="AL302" s="3"/>
      <c r="AM302" s="3"/>
      <c r="AN302" s="3"/>
      <c r="AO302" s="3"/>
      <c r="AP302" s="3"/>
      <c r="AQ302" s="3"/>
      <c r="AR302" s="6"/>
      <c r="AS302" s="6"/>
      <c r="AT302" s="3"/>
      <c r="AU302" s="3"/>
      <c r="AV302" s="3"/>
      <c r="AW302" s="3"/>
      <c r="BM302" s="3"/>
      <c r="BN302" s="3"/>
    </row>
    <row r="303" spans="1:66" s="4" customFormat="1" ht="43.9" customHeight="1" x14ac:dyDescent="0.25">
      <c r="A303" s="160" t="s">
        <v>427</v>
      </c>
      <c r="B303" s="16" t="s">
        <v>271</v>
      </c>
      <c r="C303" s="77" t="s">
        <v>428</v>
      </c>
      <c r="D303" s="56">
        <f>-60781.97-167772.58</f>
        <v>-228554.55</v>
      </c>
      <c r="E303" s="56">
        <v>0</v>
      </c>
      <c r="F303" s="56">
        <v>0</v>
      </c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136"/>
      <c r="W303" s="3"/>
      <c r="X303" s="3"/>
      <c r="Y303" s="3"/>
      <c r="Z303" s="3"/>
      <c r="AC303" s="5"/>
      <c r="AD303" s="5"/>
      <c r="AE303" s="5"/>
      <c r="AF303" s="5"/>
      <c r="AG303" s="5"/>
      <c r="AH303" s="5"/>
      <c r="AI303" s="3"/>
      <c r="AJ303" s="3"/>
      <c r="AK303" s="3"/>
      <c r="AL303" s="3"/>
      <c r="AM303" s="3"/>
      <c r="AN303" s="3"/>
      <c r="AO303" s="3"/>
      <c r="AP303" s="3"/>
      <c r="AQ303" s="3"/>
      <c r="AR303" s="6"/>
      <c r="AS303" s="6"/>
      <c r="AT303" s="3"/>
      <c r="AU303" s="3"/>
      <c r="AV303" s="3"/>
      <c r="AW303" s="3"/>
      <c r="BM303" s="3"/>
      <c r="BN303" s="3"/>
    </row>
    <row r="304" spans="1:66" s="4" customFormat="1" ht="44.45" customHeight="1" x14ac:dyDescent="0.25">
      <c r="A304" s="179" t="s">
        <v>391</v>
      </c>
      <c r="B304" s="16" t="s">
        <v>256</v>
      </c>
      <c r="C304" s="74" t="s">
        <v>392</v>
      </c>
      <c r="D304" s="56">
        <f>-9938-9885.2-61859.3</f>
        <v>-81682.5</v>
      </c>
      <c r="E304" s="56">
        <v>0</v>
      </c>
      <c r="F304" s="56">
        <v>0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36"/>
      <c r="W304" s="3"/>
      <c r="X304" s="3"/>
      <c r="Y304" s="3"/>
      <c r="Z304" s="3"/>
      <c r="AC304" s="5"/>
      <c r="AD304" s="5"/>
      <c r="AE304" s="5"/>
      <c r="AF304" s="5"/>
      <c r="AG304" s="5"/>
      <c r="AH304" s="5"/>
      <c r="AI304" s="3"/>
      <c r="AJ304" s="3"/>
      <c r="AK304" s="3"/>
      <c r="AL304" s="3"/>
      <c r="AM304" s="3"/>
      <c r="AN304" s="3"/>
      <c r="AO304" s="3"/>
      <c r="AP304" s="3"/>
      <c r="AQ304" s="3"/>
      <c r="AR304" s="6"/>
      <c r="AS304" s="6"/>
      <c r="AT304" s="3"/>
      <c r="AU304" s="3"/>
      <c r="AV304" s="3"/>
      <c r="AW304" s="3"/>
      <c r="BM304" s="3"/>
      <c r="BN304" s="3"/>
    </row>
    <row r="305" spans="1:66" s="4" customFormat="1" ht="41.45" customHeight="1" x14ac:dyDescent="0.25">
      <c r="A305" s="179" t="s">
        <v>391</v>
      </c>
      <c r="B305" s="16" t="s">
        <v>212</v>
      </c>
      <c r="C305" s="74" t="s">
        <v>392</v>
      </c>
      <c r="D305" s="56">
        <f>-12293.07-5000-5000-63.63-232.68-5174.51</f>
        <v>-27763.89</v>
      </c>
      <c r="E305" s="56">
        <v>0</v>
      </c>
      <c r="F305" s="56">
        <v>0</v>
      </c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36"/>
      <c r="W305" s="3"/>
      <c r="X305" s="3"/>
      <c r="Y305" s="3"/>
      <c r="Z305" s="3"/>
      <c r="AC305" s="5"/>
      <c r="AD305" s="5"/>
      <c r="AE305" s="5"/>
      <c r="AF305" s="5"/>
      <c r="AG305" s="5"/>
      <c r="AH305" s="5"/>
      <c r="AI305" s="3"/>
      <c r="AJ305" s="3"/>
      <c r="AK305" s="3"/>
      <c r="AL305" s="3"/>
      <c r="AM305" s="3"/>
      <c r="AN305" s="3"/>
      <c r="AO305" s="3"/>
      <c r="AP305" s="3"/>
      <c r="AQ305" s="3"/>
      <c r="AR305" s="6"/>
      <c r="AS305" s="6"/>
      <c r="AT305" s="3"/>
      <c r="AU305" s="3"/>
      <c r="AV305" s="3"/>
      <c r="AW305" s="3"/>
      <c r="BM305" s="3"/>
      <c r="BN305" s="3"/>
    </row>
    <row r="306" spans="1:66" s="4" customFormat="1" ht="42.6" customHeight="1" x14ac:dyDescent="0.25">
      <c r="A306" s="179" t="s">
        <v>391</v>
      </c>
      <c r="B306" s="16" t="s">
        <v>80</v>
      </c>
      <c r="C306" s="74" t="s">
        <v>392</v>
      </c>
      <c r="D306" s="56">
        <v>-0.65</v>
      </c>
      <c r="E306" s="56">
        <v>0</v>
      </c>
      <c r="F306" s="56">
        <v>0</v>
      </c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136"/>
      <c r="W306" s="3"/>
      <c r="X306" s="3"/>
      <c r="Y306" s="3"/>
      <c r="Z306" s="3"/>
      <c r="AC306" s="5"/>
      <c r="AD306" s="5"/>
      <c r="AE306" s="5"/>
      <c r="AF306" s="5"/>
      <c r="AG306" s="5"/>
      <c r="AH306" s="5"/>
      <c r="AI306" s="3"/>
      <c r="AJ306" s="3"/>
      <c r="AK306" s="3"/>
      <c r="AL306" s="3"/>
      <c r="AM306" s="3"/>
      <c r="AN306" s="3"/>
      <c r="AO306" s="3"/>
      <c r="AP306" s="3"/>
      <c r="AQ306" s="3"/>
      <c r="AR306" s="6"/>
      <c r="AS306" s="6"/>
      <c r="AT306" s="3"/>
      <c r="AU306" s="3"/>
      <c r="AV306" s="3"/>
      <c r="AW306" s="3"/>
      <c r="BM306" s="3"/>
      <c r="BN306" s="3"/>
    </row>
    <row r="307" spans="1:66" s="6" customFormat="1" ht="18" customHeight="1" x14ac:dyDescent="0.25">
      <c r="A307" s="129" t="s">
        <v>297</v>
      </c>
      <c r="B307" s="16"/>
      <c r="C307" s="17"/>
      <c r="D307" s="55">
        <f>+D8+D216</f>
        <v>4550305813.5199995</v>
      </c>
      <c r="E307" s="55">
        <f>+E8+E216</f>
        <v>3743062212</v>
      </c>
      <c r="F307" s="55">
        <f>+F8+F216</f>
        <v>3500284607.5999999</v>
      </c>
      <c r="V307" s="43"/>
      <c r="AC307" s="5"/>
      <c r="AD307" s="44"/>
      <c r="AE307" s="5"/>
      <c r="AF307" s="5"/>
      <c r="AG307" s="5"/>
      <c r="AH307" s="5"/>
    </row>
    <row r="308" spans="1:66" s="48" customFormat="1" x14ac:dyDescent="0.25">
      <c r="A308" s="180"/>
      <c r="B308" s="45"/>
      <c r="C308" s="46"/>
      <c r="D308" s="46"/>
      <c r="E308" s="45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BM308" s="47"/>
      <c r="BN308" s="47"/>
    </row>
    <row r="309" spans="1:66" x14ac:dyDescent="0.25">
      <c r="B309" s="49"/>
      <c r="D309" s="151"/>
      <c r="E309" s="61"/>
    </row>
    <row r="310" spans="1:66" ht="18.75" x14ac:dyDescent="0.3">
      <c r="A310" s="182"/>
      <c r="B310" s="49"/>
      <c r="D310" s="196"/>
      <c r="E310" s="196"/>
      <c r="J310" s="197"/>
      <c r="K310" s="197"/>
    </row>
    <row r="311" spans="1:66" ht="27.6" customHeight="1" x14ac:dyDescent="0.3">
      <c r="A311" s="198" t="s">
        <v>298</v>
      </c>
      <c r="B311" s="198"/>
      <c r="C311" s="52"/>
      <c r="D311" s="199" t="s">
        <v>334</v>
      </c>
      <c r="E311" s="199"/>
      <c r="F311" s="199"/>
    </row>
    <row r="312" spans="1:66" ht="18.75" x14ac:dyDescent="0.3">
      <c r="A312" s="162"/>
      <c r="B312" s="135"/>
      <c r="C312" s="52"/>
      <c r="D312" s="152"/>
      <c r="E312" s="53"/>
    </row>
    <row r="313" spans="1:66" ht="18.75" x14ac:dyDescent="0.3">
      <c r="A313" s="183"/>
      <c r="B313" s="53"/>
      <c r="C313" s="54"/>
      <c r="D313" s="152"/>
      <c r="E313" s="53"/>
      <c r="J313" s="197"/>
      <c r="K313" s="197"/>
    </row>
    <row r="314" spans="1:66" ht="23.45" customHeight="1" x14ac:dyDescent="0.3">
      <c r="A314" s="192" t="s">
        <v>559</v>
      </c>
      <c r="B314" s="192"/>
      <c r="C314" s="54"/>
      <c r="D314" s="199" t="s">
        <v>558</v>
      </c>
      <c r="E314" s="199"/>
      <c r="F314" s="199"/>
    </row>
  </sheetData>
  <mergeCells count="25">
    <mergeCell ref="BK1:BL3"/>
    <mergeCell ref="D3:F3"/>
    <mergeCell ref="A314:B314"/>
    <mergeCell ref="AR88:AR93"/>
    <mergeCell ref="AY269:BD269"/>
    <mergeCell ref="AZ270:BE270"/>
    <mergeCell ref="AY278:BD278"/>
    <mergeCell ref="D310:E310"/>
    <mergeCell ref="J310:K310"/>
    <mergeCell ref="A311:B311"/>
    <mergeCell ref="J313:K313"/>
    <mergeCell ref="D311:F311"/>
    <mergeCell ref="D314:F314"/>
    <mergeCell ref="T8:V8"/>
    <mergeCell ref="T10:V10"/>
    <mergeCell ref="AM19:AM27"/>
    <mergeCell ref="L88:L93"/>
    <mergeCell ref="AM88:AM92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14"/>
  <sheetViews>
    <sheetView topLeftCell="A91" workbookViewId="0">
      <selection sqref="A1:XFD1048576"/>
    </sheetView>
  </sheetViews>
  <sheetFormatPr defaultColWidth="8.85546875" defaultRowHeight="15" x14ac:dyDescent="0.25"/>
  <cols>
    <col min="1" max="1" width="53.85546875" style="49" customWidth="1"/>
    <col min="2" max="2" width="8" style="51" customWidth="1"/>
    <col min="3" max="3" width="20.85546875" style="50" customWidth="1"/>
    <col min="4" max="4" width="15.28515625" style="50" customWidth="1"/>
    <col min="5" max="5" width="14.7109375" style="51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customWidth="1"/>
    <col min="66" max="66" width="8.85546875" style="6" hidden="1" customWidth="1"/>
    <col min="67" max="67" width="35.7109375" style="51" customWidth="1"/>
    <col min="68" max="16384" width="8.85546875" style="51"/>
  </cols>
  <sheetData>
    <row r="1" spans="1:66" s="4" customFormat="1" x14ac:dyDescent="0.25">
      <c r="A1" s="78"/>
      <c r="B1" s="1"/>
      <c r="C1" s="2"/>
      <c r="D1" s="202" t="s">
        <v>516</v>
      </c>
      <c r="E1" s="202"/>
      <c r="F1" s="20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36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91"/>
      <c r="BL1" s="191"/>
      <c r="BM1" s="3"/>
      <c r="BN1" s="3"/>
    </row>
    <row r="2" spans="1:66" s="4" customFormat="1" x14ac:dyDescent="0.25">
      <c r="A2" s="78"/>
      <c r="B2" s="7"/>
      <c r="C2" s="2"/>
      <c r="D2" s="202"/>
      <c r="E2" s="202"/>
      <c r="F2" s="20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36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91"/>
      <c r="BL2" s="191"/>
      <c r="BM2" s="3"/>
      <c r="BN2" s="3"/>
    </row>
    <row r="3" spans="1:66" s="4" customFormat="1" x14ac:dyDescent="0.25">
      <c r="A3" s="78"/>
      <c r="B3" s="7"/>
      <c r="C3" s="2"/>
      <c r="D3" s="186"/>
      <c r="E3" s="186"/>
      <c r="F3" s="18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36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91"/>
      <c r="BL3" s="191"/>
      <c r="BM3" s="3"/>
      <c r="BN3" s="3"/>
    </row>
    <row r="4" spans="1:66" s="10" customFormat="1" ht="18.75" x14ac:dyDescent="0.25">
      <c r="A4" s="190" t="s">
        <v>336</v>
      </c>
      <c r="B4" s="190"/>
      <c r="C4" s="190"/>
      <c r="D4" s="190"/>
      <c r="E4" s="190"/>
      <c r="F4" s="19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x14ac:dyDescent="0.25">
      <c r="A5" s="78"/>
      <c r="B5" s="11"/>
      <c r="C5" s="11"/>
      <c r="D5" s="149"/>
      <c r="F5" s="13" t="s">
        <v>310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36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x14ac:dyDescent="0.25">
      <c r="A6" s="187" t="s">
        <v>0</v>
      </c>
      <c r="B6" s="188" t="s">
        <v>1</v>
      </c>
      <c r="C6" s="188"/>
      <c r="D6" s="189" t="s">
        <v>2</v>
      </c>
      <c r="E6" s="189" t="s">
        <v>329</v>
      </c>
      <c r="F6" s="189" t="s">
        <v>337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36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1" x14ac:dyDescent="0.25">
      <c r="A7" s="187"/>
      <c r="B7" s="14" t="s">
        <v>3</v>
      </c>
      <c r="C7" s="14" t="s">
        <v>4</v>
      </c>
      <c r="D7" s="189"/>
      <c r="E7" s="189"/>
      <c r="F7" s="189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36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101" t="s">
        <v>5</v>
      </c>
      <c r="B8" s="16" t="s">
        <v>6</v>
      </c>
      <c r="C8" s="63" t="s">
        <v>7</v>
      </c>
      <c r="D8" s="55">
        <f>+D9+D18+D28+D40+D48+D54+D87+D96+D113+D124+D186</f>
        <v>1332647416.3900001</v>
      </c>
      <c r="E8" s="55">
        <f>+E9+E18+E28+E40+E48+E54+E87+E96+E113+E124+E186</f>
        <v>1169634832</v>
      </c>
      <c r="F8" s="55">
        <f>+F9+F18+F28+F40+F48+F54+F87+F96+F113+F124+F186</f>
        <v>1211231207.5999999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00"/>
      <c r="U8" s="200"/>
      <c r="V8" s="200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101" t="s">
        <v>8</v>
      </c>
      <c r="B9" s="16" t="s">
        <v>6</v>
      </c>
      <c r="C9" s="17" t="s">
        <v>9</v>
      </c>
      <c r="D9" s="55">
        <f>+D10</f>
        <v>709716801</v>
      </c>
      <c r="E9" s="55">
        <f>+E10</f>
        <v>709476886</v>
      </c>
      <c r="F9" s="55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2.75" x14ac:dyDescent="0.2">
      <c r="A10" s="101" t="s">
        <v>10</v>
      </c>
      <c r="B10" s="16" t="s">
        <v>6</v>
      </c>
      <c r="C10" s="17" t="s">
        <v>11</v>
      </c>
      <c r="D10" s="55">
        <f>+D11+D12+D14+D13+D15+D16+D17</f>
        <v>709716801</v>
      </c>
      <c r="E10" s="55">
        <f t="shared" ref="E10:F10" si="0">+E11+E12+E14+E13+E15+E16+E17</f>
        <v>709476886</v>
      </c>
      <c r="F10" s="55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00"/>
      <c r="U10" s="200"/>
      <c r="V10" s="200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63.75" x14ac:dyDescent="0.25">
      <c r="A11" s="79" t="s">
        <v>12</v>
      </c>
      <c r="B11" s="64" t="s">
        <v>13</v>
      </c>
      <c r="C11" s="64" t="s">
        <v>14</v>
      </c>
      <c r="D11" s="55">
        <v>610349951</v>
      </c>
      <c r="E11" s="55">
        <v>635258333</v>
      </c>
      <c r="F11" s="55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89.25" x14ac:dyDescent="0.25">
      <c r="A12" s="79" t="s">
        <v>15</v>
      </c>
      <c r="B12" s="64" t="s">
        <v>13</v>
      </c>
      <c r="C12" s="64" t="s">
        <v>16</v>
      </c>
      <c r="D12" s="118">
        <f>687790+2012210+1400000</f>
        <v>4100000</v>
      </c>
      <c r="E12" s="55">
        <v>719428</v>
      </c>
      <c r="F12" s="55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36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38.25" x14ac:dyDescent="0.25">
      <c r="A13" s="79" t="s">
        <v>17</v>
      </c>
      <c r="B13" s="64" t="s">
        <v>13</v>
      </c>
      <c r="C13" s="64" t="s">
        <v>18</v>
      </c>
      <c r="D13" s="55">
        <v>6500760</v>
      </c>
      <c r="E13" s="55">
        <v>6799795</v>
      </c>
      <c r="F13" s="55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36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6.5" x14ac:dyDescent="0.25">
      <c r="A14" s="79" t="s">
        <v>19</v>
      </c>
      <c r="B14" s="64" t="s">
        <v>13</v>
      </c>
      <c r="C14" s="64" t="s">
        <v>20</v>
      </c>
      <c r="D14" s="55">
        <v>17744430</v>
      </c>
      <c r="E14" s="55">
        <v>15422674</v>
      </c>
      <c r="F14" s="55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36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76.5" x14ac:dyDescent="0.25">
      <c r="A15" s="79" t="s">
        <v>313</v>
      </c>
      <c r="B15" s="64" t="s">
        <v>13</v>
      </c>
      <c r="C15" s="64" t="s">
        <v>312</v>
      </c>
      <c r="D15" s="55">
        <v>49021660</v>
      </c>
      <c r="E15" s="55">
        <v>51276656</v>
      </c>
      <c r="F15" s="55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36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38.25" x14ac:dyDescent="0.25">
      <c r="A16" s="114" t="s">
        <v>395</v>
      </c>
      <c r="B16" s="106" t="s">
        <v>13</v>
      </c>
      <c r="C16" s="117" t="s">
        <v>393</v>
      </c>
      <c r="D16" s="118">
        <f>1000000+2000000+4500000</f>
        <v>7500000</v>
      </c>
      <c r="E16" s="104">
        <v>0</v>
      </c>
      <c r="F16" s="104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36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38.25" x14ac:dyDescent="0.25">
      <c r="A17" s="114" t="s">
        <v>396</v>
      </c>
      <c r="B17" s="106" t="s">
        <v>13</v>
      </c>
      <c r="C17" s="117" t="s">
        <v>394</v>
      </c>
      <c r="D17" s="118">
        <f>58312.15+2341687.85+12100000</f>
        <v>14500000</v>
      </c>
      <c r="E17" s="104">
        <v>0</v>
      </c>
      <c r="F17" s="104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36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5.5" x14ac:dyDescent="0.25">
      <c r="A18" s="79" t="s">
        <v>21</v>
      </c>
      <c r="B18" s="64" t="s">
        <v>6</v>
      </c>
      <c r="C18" s="64" t="s">
        <v>22</v>
      </c>
      <c r="D18" s="55">
        <f>+D19</f>
        <v>18231900</v>
      </c>
      <c r="E18" s="55">
        <f>+E19</f>
        <v>17592070</v>
      </c>
      <c r="F18" s="55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36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25.5" x14ac:dyDescent="0.25">
      <c r="A19" s="81" t="s">
        <v>23</v>
      </c>
      <c r="B19" s="64" t="s">
        <v>6</v>
      </c>
      <c r="C19" s="64" t="s">
        <v>24</v>
      </c>
      <c r="D19" s="55">
        <f>+D20+D22+D24+D26</f>
        <v>18231900</v>
      </c>
      <c r="E19" s="55">
        <f t="shared" ref="E19:F19" si="1">+E20+E22+E24+E26</f>
        <v>17592070</v>
      </c>
      <c r="F19" s="55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36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201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63.75" x14ac:dyDescent="0.25">
      <c r="A20" s="81" t="s">
        <v>25</v>
      </c>
      <c r="B20" s="64" t="s">
        <v>6</v>
      </c>
      <c r="C20" s="64" t="s">
        <v>26</v>
      </c>
      <c r="D20" s="55">
        <f t="shared" ref="D20:F20" si="2">+D21</f>
        <v>9376000</v>
      </c>
      <c r="E20" s="55">
        <f t="shared" si="2"/>
        <v>8392870</v>
      </c>
      <c r="F20" s="55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36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201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89.25" x14ac:dyDescent="0.25">
      <c r="A21" s="81" t="s">
        <v>27</v>
      </c>
      <c r="B21" s="76">
        <v>182</v>
      </c>
      <c r="C21" s="65" t="s">
        <v>28</v>
      </c>
      <c r="D21" s="147">
        <f>4753570+2738860+1883570</f>
        <v>9376000</v>
      </c>
      <c r="E21" s="56">
        <f>4753570+3639300</f>
        <v>8392870</v>
      </c>
      <c r="F21" s="56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36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201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6.5" x14ac:dyDescent="0.25">
      <c r="A22" s="81" t="s">
        <v>29</v>
      </c>
      <c r="B22" s="64" t="s">
        <v>6</v>
      </c>
      <c r="C22" s="64" t="s">
        <v>30</v>
      </c>
      <c r="D22" s="55">
        <f>+D23</f>
        <v>47200</v>
      </c>
      <c r="E22" s="55">
        <f>+E23</f>
        <v>57330</v>
      </c>
      <c r="F22" s="55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36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201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2" x14ac:dyDescent="0.25">
      <c r="A23" s="81" t="s">
        <v>31</v>
      </c>
      <c r="B23" s="64" t="s">
        <v>13</v>
      </c>
      <c r="C23" s="65" t="s">
        <v>338</v>
      </c>
      <c r="D23" s="147">
        <f>26550+25490-4840</f>
        <v>47200</v>
      </c>
      <c r="E23" s="56">
        <f>26550+30780</f>
        <v>57330</v>
      </c>
      <c r="F23" s="56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36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201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63.75" x14ac:dyDescent="0.25">
      <c r="A24" s="81" t="s">
        <v>32</v>
      </c>
      <c r="B24" s="64" t="s">
        <v>6</v>
      </c>
      <c r="C24" s="64" t="s">
        <v>33</v>
      </c>
      <c r="D24" s="55">
        <f>+D25</f>
        <v>9953800</v>
      </c>
      <c r="E24" s="55">
        <f>+E25</f>
        <v>10241020</v>
      </c>
      <c r="F24" s="55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36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201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102" x14ac:dyDescent="0.25">
      <c r="A25" s="81" t="s">
        <v>34</v>
      </c>
      <c r="B25" s="64" t="s">
        <v>13</v>
      </c>
      <c r="C25" s="65" t="s">
        <v>339</v>
      </c>
      <c r="D25" s="147">
        <f>3045220+6216950+691630</f>
        <v>9953800</v>
      </c>
      <c r="E25" s="56">
        <f>5901751+315199+4024070</f>
        <v>10241020</v>
      </c>
      <c r="F25" s="56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36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201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3.75" x14ac:dyDescent="0.25">
      <c r="A26" s="81" t="s">
        <v>35</v>
      </c>
      <c r="B26" s="64" t="s">
        <v>6</v>
      </c>
      <c r="C26" s="64" t="s">
        <v>36</v>
      </c>
      <c r="D26" s="55">
        <f>+D27</f>
        <v>-1145100</v>
      </c>
      <c r="E26" s="55">
        <f>+E27</f>
        <v>-1099150</v>
      </c>
      <c r="F26" s="55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36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201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102" x14ac:dyDescent="0.25">
      <c r="A27" s="81" t="s">
        <v>37</v>
      </c>
      <c r="B27" s="64" t="s">
        <v>13</v>
      </c>
      <c r="C27" s="65" t="s">
        <v>340</v>
      </c>
      <c r="D27" s="147">
        <f>-729790-258360-156950</f>
        <v>-1145100</v>
      </c>
      <c r="E27" s="56">
        <f>-578611-151179-369360</f>
        <v>-1099150</v>
      </c>
      <c r="F27" s="56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36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201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2.75" x14ac:dyDescent="0.2">
      <c r="A28" s="101" t="s">
        <v>38</v>
      </c>
      <c r="B28" s="64" t="s">
        <v>6</v>
      </c>
      <c r="C28" s="17" t="s">
        <v>39</v>
      </c>
      <c r="D28" s="55">
        <f>+D38+D29+D36</f>
        <v>255911477.04000002</v>
      </c>
      <c r="E28" s="55">
        <f t="shared" ref="E28:F28" si="3">+E38+E29+E36</f>
        <v>188861207</v>
      </c>
      <c r="F28" s="55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136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5" x14ac:dyDescent="0.2">
      <c r="A29" s="81" t="s">
        <v>40</v>
      </c>
      <c r="B29" s="64" t="s">
        <v>6</v>
      </c>
      <c r="C29" s="28" t="s">
        <v>41</v>
      </c>
      <c r="D29" s="55">
        <f>+D30+D33+D35</f>
        <v>232791271.93000001</v>
      </c>
      <c r="E29" s="55">
        <f t="shared" ref="E29:F29" si="4">+E30+E33+E35</f>
        <v>165539207</v>
      </c>
      <c r="F29" s="55">
        <f t="shared" si="4"/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136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5.5" x14ac:dyDescent="0.2">
      <c r="A30" s="81" t="s">
        <v>42</v>
      </c>
      <c r="B30" s="64" t="s">
        <v>6</v>
      </c>
      <c r="C30" s="28" t="s">
        <v>43</v>
      </c>
      <c r="D30" s="104">
        <f>+D31+D32</f>
        <v>145429650.09</v>
      </c>
      <c r="E30" s="104">
        <f t="shared" ref="E30:F30" si="5">+E31+E32</f>
        <v>103401577</v>
      </c>
      <c r="F30" s="104">
        <f t="shared" si="5"/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136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5.5" x14ac:dyDescent="0.2">
      <c r="A31" s="81" t="s">
        <v>42</v>
      </c>
      <c r="B31" s="64" t="s">
        <v>13</v>
      </c>
      <c r="C31" s="28" t="s">
        <v>44</v>
      </c>
      <c r="D31" s="55">
        <f>98854280+46517529</f>
        <v>145371809</v>
      </c>
      <c r="E31" s="55">
        <f>103401577</f>
        <v>103401577</v>
      </c>
      <c r="F31" s="55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136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38.25" x14ac:dyDescent="0.2">
      <c r="A32" s="105" t="s">
        <v>483</v>
      </c>
      <c r="B32" s="106" t="s">
        <v>13</v>
      </c>
      <c r="C32" s="107" t="s">
        <v>482</v>
      </c>
      <c r="D32" s="120">
        <v>57841.09</v>
      </c>
      <c r="E32" s="104">
        <v>0</v>
      </c>
      <c r="F32" s="104">
        <v>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36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38.25" x14ac:dyDescent="0.2">
      <c r="A33" s="81" t="s">
        <v>45</v>
      </c>
      <c r="B33" s="64" t="s">
        <v>6</v>
      </c>
      <c r="C33" s="28" t="s">
        <v>46</v>
      </c>
      <c r="D33" s="55">
        <f>+D34</f>
        <v>87359013</v>
      </c>
      <c r="E33" s="55">
        <f>+E34</f>
        <v>62137630</v>
      </c>
      <c r="F33" s="55">
        <f>+F34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136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51" x14ac:dyDescent="0.2">
      <c r="A34" s="81" t="s">
        <v>47</v>
      </c>
      <c r="B34" s="64" t="s">
        <v>13</v>
      </c>
      <c r="C34" s="28" t="s">
        <v>48</v>
      </c>
      <c r="D34" s="55">
        <f>59405000+27954013</f>
        <v>87359013</v>
      </c>
      <c r="E34" s="55">
        <f>62137630</f>
        <v>62137630</v>
      </c>
      <c r="F34" s="55">
        <f>64623135</f>
        <v>64623135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136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38.25" x14ac:dyDescent="0.2">
      <c r="A35" s="108" t="s">
        <v>484</v>
      </c>
      <c r="B35" s="106" t="s">
        <v>13</v>
      </c>
      <c r="C35" s="109" t="s">
        <v>485</v>
      </c>
      <c r="D35" s="121">
        <v>2608.84</v>
      </c>
      <c r="E35" s="104">
        <v>0</v>
      </c>
      <c r="F35" s="104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36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12.75" x14ac:dyDescent="0.2">
      <c r="A36" s="81" t="s">
        <v>341</v>
      </c>
      <c r="B36" s="64" t="s">
        <v>6</v>
      </c>
      <c r="C36" s="28" t="s">
        <v>342</v>
      </c>
      <c r="D36" s="55">
        <f>+D37</f>
        <v>70205.11</v>
      </c>
      <c r="E36" s="55">
        <f t="shared" ref="E36:F36" si="6">+E37</f>
        <v>22000</v>
      </c>
      <c r="F36" s="55">
        <f t="shared" si="6"/>
        <v>23000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136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2.75" x14ac:dyDescent="0.2">
      <c r="A37" s="110" t="s">
        <v>341</v>
      </c>
      <c r="B37" s="106" t="s">
        <v>13</v>
      </c>
      <c r="C37" s="107" t="s">
        <v>343</v>
      </c>
      <c r="D37" s="118">
        <f>20000+50205.11</f>
        <v>70205.11</v>
      </c>
      <c r="E37" s="104">
        <v>22000</v>
      </c>
      <c r="F37" s="104">
        <v>23000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136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4" customFormat="1" ht="25.5" x14ac:dyDescent="0.25">
      <c r="A38" s="81" t="s">
        <v>49</v>
      </c>
      <c r="B38" s="64" t="s">
        <v>6</v>
      </c>
      <c r="C38" s="66" t="s">
        <v>50</v>
      </c>
      <c r="D38" s="55">
        <f>+D39</f>
        <v>23050000</v>
      </c>
      <c r="E38" s="55">
        <f>+E39</f>
        <v>23300000</v>
      </c>
      <c r="F38" s="55">
        <f>+F39</f>
        <v>24000000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36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3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4" customFormat="1" ht="25.5" x14ac:dyDescent="0.25">
      <c r="A39" s="81" t="s">
        <v>51</v>
      </c>
      <c r="B39" s="64" t="s">
        <v>13</v>
      </c>
      <c r="C39" s="66" t="s">
        <v>52</v>
      </c>
      <c r="D39" s="55">
        <v>23050000</v>
      </c>
      <c r="E39" s="55">
        <v>23300000</v>
      </c>
      <c r="F39" s="55">
        <v>24000000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36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138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23" customFormat="1" ht="12.75" x14ac:dyDescent="0.2">
      <c r="A40" s="101" t="s">
        <v>53</v>
      </c>
      <c r="B40" s="64" t="s">
        <v>6</v>
      </c>
      <c r="C40" s="17" t="s">
        <v>54</v>
      </c>
      <c r="D40" s="55">
        <f>+D41+D43</f>
        <v>81450000</v>
      </c>
      <c r="E40" s="55">
        <f t="shared" ref="E40:F40" si="7">+E41+E43</f>
        <v>84300000</v>
      </c>
      <c r="F40" s="55">
        <f t="shared" si="7"/>
        <v>87000000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"/>
      <c r="U40" s="3"/>
      <c r="V40" s="136"/>
      <c r="W40" s="3"/>
      <c r="X40" s="3"/>
      <c r="Y40" s="22"/>
      <c r="Z40" s="22"/>
      <c r="AC40" s="21"/>
      <c r="AD40" s="21"/>
      <c r="AE40" s="21"/>
      <c r="AF40" s="21"/>
      <c r="AG40" s="21"/>
      <c r="AH40" s="21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BM40" s="22"/>
      <c r="BN40" s="22"/>
    </row>
    <row r="41" spans="1:66" s="4" customFormat="1" x14ac:dyDescent="0.25">
      <c r="A41" s="81" t="s">
        <v>55</v>
      </c>
      <c r="B41" s="64" t="s">
        <v>6</v>
      </c>
      <c r="C41" s="17" t="s">
        <v>56</v>
      </c>
      <c r="D41" s="55">
        <f>+D42</f>
        <v>14250000</v>
      </c>
      <c r="E41" s="55">
        <f>+E42</f>
        <v>16500000</v>
      </c>
      <c r="F41" s="55">
        <f>+F42</f>
        <v>18500000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36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38.25" x14ac:dyDescent="0.25">
      <c r="A42" s="81" t="s">
        <v>57</v>
      </c>
      <c r="B42" s="64" t="s">
        <v>13</v>
      </c>
      <c r="C42" s="17" t="s">
        <v>58</v>
      </c>
      <c r="D42" s="55">
        <v>14250000</v>
      </c>
      <c r="E42" s="55">
        <v>16500000</v>
      </c>
      <c r="F42" s="55">
        <v>18500000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36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138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x14ac:dyDescent="0.25">
      <c r="A43" s="81" t="s">
        <v>59</v>
      </c>
      <c r="B43" s="64" t="s">
        <v>6</v>
      </c>
      <c r="C43" s="64" t="s">
        <v>60</v>
      </c>
      <c r="D43" s="55">
        <f>+D44+D46</f>
        <v>67200000</v>
      </c>
      <c r="E43" s="55">
        <f>+E44+E46</f>
        <v>67800000</v>
      </c>
      <c r="F43" s="55">
        <f>+F44+F46</f>
        <v>68500000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36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81" t="s">
        <v>61</v>
      </c>
      <c r="B44" s="64" t="s">
        <v>6</v>
      </c>
      <c r="C44" s="64" t="s">
        <v>62</v>
      </c>
      <c r="D44" s="55">
        <f>+D45</f>
        <v>55090000</v>
      </c>
      <c r="E44" s="55">
        <f>+E45</f>
        <v>55600000</v>
      </c>
      <c r="F44" s="55">
        <f>+F45</f>
        <v>56200000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36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5.5" x14ac:dyDescent="0.25">
      <c r="A45" s="81" t="s">
        <v>63</v>
      </c>
      <c r="B45" s="64" t="s">
        <v>13</v>
      </c>
      <c r="C45" s="64" t="s">
        <v>64</v>
      </c>
      <c r="D45" s="55">
        <v>55090000</v>
      </c>
      <c r="E45" s="55">
        <v>55600000</v>
      </c>
      <c r="F45" s="55">
        <v>56200000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36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x14ac:dyDescent="0.25">
      <c r="A46" s="81" t="s">
        <v>65</v>
      </c>
      <c r="B46" s="64" t="s">
        <v>6</v>
      </c>
      <c r="C46" s="64" t="s">
        <v>66</v>
      </c>
      <c r="D46" s="55">
        <f>+D47</f>
        <v>12110000</v>
      </c>
      <c r="E46" s="55">
        <f>+E47</f>
        <v>12200000</v>
      </c>
      <c r="F46" s="55">
        <f>+F47</f>
        <v>12300000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36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5.5" x14ac:dyDescent="0.25">
      <c r="A47" s="81" t="s">
        <v>67</v>
      </c>
      <c r="B47" s="64" t="s">
        <v>13</v>
      </c>
      <c r="C47" s="64" t="s">
        <v>68</v>
      </c>
      <c r="D47" s="55">
        <v>12110000</v>
      </c>
      <c r="E47" s="55">
        <v>12200000</v>
      </c>
      <c r="F47" s="55"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36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138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30" customFormat="1" ht="12.75" x14ac:dyDescent="0.2">
      <c r="A48" s="101" t="s">
        <v>69</v>
      </c>
      <c r="B48" s="16" t="s">
        <v>6</v>
      </c>
      <c r="C48" s="17" t="s">
        <v>70</v>
      </c>
      <c r="D48" s="55">
        <f>+D49+D51</f>
        <v>21645000</v>
      </c>
      <c r="E48" s="55">
        <f t="shared" ref="E48:F48" si="8">+E49+E51</f>
        <v>21700000</v>
      </c>
      <c r="F48" s="55">
        <f t="shared" si="8"/>
        <v>21820000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36"/>
      <c r="U48" s="136"/>
      <c r="V48" s="136"/>
      <c r="W48" s="136"/>
      <c r="X48" s="136"/>
      <c r="Y48" s="29"/>
      <c r="Z48" s="29"/>
      <c r="AC48" s="31"/>
      <c r="AD48" s="31"/>
      <c r="AE48" s="31"/>
      <c r="AF48" s="31"/>
      <c r="AG48" s="31"/>
      <c r="AH48" s="31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BM48" s="29"/>
      <c r="BN48" s="29"/>
    </row>
    <row r="49" spans="1:66" s="30" customFormat="1" ht="25.5" x14ac:dyDescent="0.2">
      <c r="A49" s="81" t="s">
        <v>71</v>
      </c>
      <c r="B49" s="64" t="s">
        <v>6</v>
      </c>
      <c r="C49" s="17" t="s">
        <v>72</v>
      </c>
      <c r="D49" s="55">
        <f>+D50</f>
        <v>21600000</v>
      </c>
      <c r="E49" s="55">
        <f>+E50</f>
        <v>21700000</v>
      </c>
      <c r="F49" s="55">
        <f>+F50</f>
        <v>21800000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36"/>
      <c r="U49" s="136"/>
      <c r="V49" s="136"/>
      <c r="W49" s="136"/>
      <c r="X49" s="136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4" customFormat="1" ht="38.25" x14ac:dyDescent="0.25">
      <c r="A50" s="81" t="s">
        <v>73</v>
      </c>
      <c r="B50" s="64" t="s">
        <v>13</v>
      </c>
      <c r="C50" s="17" t="s">
        <v>74</v>
      </c>
      <c r="D50" s="55">
        <v>21600000</v>
      </c>
      <c r="E50" s="55">
        <v>21700000</v>
      </c>
      <c r="F50" s="55">
        <v>21800000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36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138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5" x14ac:dyDescent="0.25">
      <c r="A51" s="81" t="s">
        <v>75</v>
      </c>
      <c r="B51" s="16" t="s">
        <v>6</v>
      </c>
      <c r="C51" s="17" t="s">
        <v>76</v>
      </c>
      <c r="D51" s="55">
        <f>+D52</f>
        <v>45000</v>
      </c>
      <c r="E51" s="55">
        <f t="shared" ref="E51:F51" si="9">+E52</f>
        <v>0</v>
      </c>
      <c r="F51" s="55">
        <f t="shared" si="9"/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36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5.5" x14ac:dyDescent="0.25">
      <c r="A52" s="81" t="s">
        <v>77</v>
      </c>
      <c r="B52" s="16" t="s">
        <v>6</v>
      </c>
      <c r="C52" s="17" t="s">
        <v>79</v>
      </c>
      <c r="D52" s="55">
        <f t="shared" ref="D52:F52" si="10">+D53</f>
        <v>45000</v>
      </c>
      <c r="E52" s="55">
        <f t="shared" si="10"/>
        <v>0</v>
      </c>
      <c r="F52" s="55">
        <f t="shared" si="10"/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36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25.5" x14ac:dyDescent="0.25">
      <c r="A53" s="81" t="s">
        <v>77</v>
      </c>
      <c r="B53" s="16" t="s">
        <v>78</v>
      </c>
      <c r="C53" s="17" t="s">
        <v>314</v>
      </c>
      <c r="D53" s="55">
        <f>15000+30000</f>
        <v>45000</v>
      </c>
      <c r="E53" s="55">
        <v>0</v>
      </c>
      <c r="F53" s="55">
        <v>20000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36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23" customFormat="1" ht="38.25" x14ac:dyDescent="0.2">
      <c r="A54" s="101" t="s">
        <v>81</v>
      </c>
      <c r="B54" s="16" t="s">
        <v>6</v>
      </c>
      <c r="C54" s="17" t="s">
        <v>82</v>
      </c>
      <c r="D54" s="55">
        <f>+D55+D70+D73+D65</f>
        <v>97469121</v>
      </c>
      <c r="E54" s="55">
        <f t="shared" ref="E54:F54" si="11">+E55+E70+E73+E65</f>
        <v>101071085</v>
      </c>
      <c r="F54" s="55">
        <f t="shared" si="11"/>
        <v>105114721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3"/>
      <c r="V54" s="136"/>
      <c r="W54" s="3"/>
      <c r="X54" s="3"/>
      <c r="Y54" s="22"/>
      <c r="Z54" s="22"/>
      <c r="AC54" s="21"/>
      <c r="AD54" s="21"/>
      <c r="AE54" s="21"/>
      <c r="AF54" s="21"/>
      <c r="AG54" s="21"/>
      <c r="AH54" s="21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BM54" s="22"/>
      <c r="BN54" s="22"/>
    </row>
    <row r="55" spans="1:66" s="4" customFormat="1" ht="76.5" x14ac:dyDescent="0.25">
      <c r="A55" s="82" t="s">
        <v>83</v>
      </c>
      <c r="B55" s="67" t="s">
        <v>6</v>
      </c>
      <c r="C55" s="68" t="s">
        <v>84</v>
      </c>
      <c r="D55" s="69">
        <f>D56+D59+D62</f>
        <v>77416255</v>
      </c>
      <c r="E55" s="69">
        <f t="shared" ref="E55:F55" si="12">E56+E59+E62</f>
        <v>81895248</v>
      </c>
      <c r="F55" s="69">
        <f t="shared" si="12"/>
        <v>85416744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36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51" x14ac:dyDescent="0.25">
      <c r="A56" s="82" t="s">
        <v>85</v>
      </c>
      <c r="B56" s="67" t="s">
        <v>6</v>
      </c>
      <c r="C56" s="68" t="s">
        <v>86</v>
      </c>
      <c r="D56" s="69">
        <f t="shared" ref="D56:F57" si="13">+D57</f>
        <v>63185000</v>
      </c>
      <c r="E56" s="69">
        <f t="shared" si="13"/>
        <v>64774369</v>
      </c>
      <c r="F56" s="69">
        <f t="shared" si="13"/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36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3.75" x14ac:dyDescent="0.25">
      <c r="A57" s="82" t="s">
        <v>87</v>
      </c>
      <c r="B57" s="67" t="s">
        <v>6</v>
      </c>
      <c r="C57" s="68" t="s">
        <v>88</v>
      </c>
      <c r="D57" s="69">
        <f t="shared" si="13"/>
        <v>63185000</v>
      </c>
      <c r="E57" s="69">
        <f t="shared" si="13"/>
        <v>64774369</v>
      </c>
      <c r="F57" s="69">
        <f t="shared" si="13"/>
        <v>67559667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36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76.5" x14ac:dyDescent="0.25">
      <c r="A58" s="82" t="s">
        <v>316</v>
      </c>
      <c r="B58" s="67" t="s">
        <v>78</v>
      </c>
      <c r="C58" s="68" t="s">
        <v>315</v>
      </c>
      <c r="D58" s="133">
        <f>60890993+1212908-2010000+3091099</f>
        <v>63185000</v>
      </c>
      <c r="E58" s="69">
        <f>63509305+1265064</f>
        <v>64774369</v>
      </c>
      <c r="F58" s="69">
        <f>66240205+1319462</f>
        <v>67559667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36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3.75" x14ac:dyDescent="0.25">
      <c r="A59" s="82" t="s">
        <v>89</v>
      </c>
      <c r="B59" s="67" t="s">
        <v>6</v>
      </c>
      <c r="C59" s="68" t="s">
        <v>90</v>
      </c>
      <c r="D59" s="69">
        <f t="shared" ref="D59:F60" si="14">+D60</f>
        <v>9060000</v>
      </c>
      <c r="E59" s="69">
        <f t="shared" si="14"/>
        <v>11742774</v>
      </c>
      <c r="F59" s="69">
        <f t="shared" si="14"/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36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3.75" x14ac:dyDescent="0.25">
      <c r="A60" s="82" t="s">
        <v>91</v>
      </c>
      <c r="B60" s="67" t="s">
        <v>6</v>
      </c>
      <c r="C60" s="68" t="s">
        <v>92</v>
      </c>
      <c r="D60" s="69">
        <f t="shared" si="14"/>
        <v>9060000</v>
      </c>
      <c r="E60" s="69">
        <f t="shared" si="14"/>
        <v>11742774</v>
      </c>
      <c r="F60" s="69">
        <f t="shared" si="14"/>
        <v>12247713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36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3.75" x14ac:dyDescent="0.25">
      <c r="A61" s="82" t="s">
        <v>318</v>
      </c>
      <c r="B61" s="67" t="s">
        <v>78</v>
      </c>
      <c r="C61" s="68" t="s">
        <v>317</v>
      </c>
      <c r="D61" s="133">
        <f>9012052+2246600-2198652</f>
        <v>9060000</v>
      </c>
      <c r="E61" s="69">
        <f>9399571+2343203</f>
        <v>11742774</v>
      </c>
      <c r="F61" s="69">
        <f>9803752+2443961</f>
        <v>12247713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36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82" t="s">
        <v>93</v>
      </c>
      <c r="B62" s="67" t="s">
        <v>6</v>
      </c>
      <c r="C62" s="68" t="s">
        <v>94</v>
      </c>
      <c r="D62" s="69">
        <f t="shared" ref="D62:F63" si="15">+D63</f>
        <v>5171255</v>
      </c>
      <c r="E62" s="69">
        <f t="shared" si="15"/>
        <v>5378105</v>
      </c>
      <c r="F62" s="69">
        <f t="shared" si="15"/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36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5.5" x14ac:dyDescent="0.25">
      <c r="A63" s="82" t="s">
        <v>95</v>
      </c>
      <c r="B63" s="67" t="s">
        <v>6</v>
      </c>
      <c r="C63" s="68" t="s">
        <v>96</v>
      </c>
      <c r="D63" s="69">
        <f t="shared" si="15"/>
        <v>5171255</v>
      </c>
      <c r="E63" s="69">
        <f t="shared" si="15"/>
        <v>5378105</v>
      </c>
      <c r="F63" s="69">
        <f t="shared" si="15"/>
        <v>5609364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36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38.25" x14ac:dyDescent="0.25">
      <c r="A64" s="82" t="s">
        <v>320</v>
      </c>
      <c r="B64" s="67" t="s">
        <v>78</v>
      </c>
      <c r="C64" s="68" t="s">
        <v>319</v>
      </c>
      <c r="D64" s="69">
        <f>5502231-330976</f>
        <v>5171255</v>
      </c>
      <c r="E64" s="69">
        <f>5738827-360722</f>
        <v>5378105</v>
      </c>
      <c r="F64" s="69">
        <f>5985596-376232</f>
        <v>5609364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36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51" x14ac:dyDescent="0.25">
      <c r="A65" s="86" t="s">
        <v>471</v>
      </c>
      <c r="B65" s="16" t="s">
        <v>6</v>
      </c>
      <c r="C65" s="39" t="s">
        <v>474</v>
      </c>
      <c r="D65" s="55">
        <f>+D66+D68</f>
        <v>544129</v>
      </c>
      <c r="E65" s="55">
        <f t="shared" ref="E65:F65" si="16">+E66+E68</f>
        <v>0</v>
      </c>
      <c r="F65" s="55">
        <f t="shared" si="16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36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1" x14ac:dyDescent="0.25">
      <c r="A66" s="96" t="s">
        <v>472</v>
      </c>
      <c r="B66" s="67" t="s">
        <v>6</v>
      </c>
      <c r="C66" s="72" t="s">
        <v>475</v>
      </c>
      <c r="D66" s="69">
        <f>+D67</f>
        <v>543100</v>
      </c>
      <c r="E66" s="69">
        <f t="shared" ref="E66:F66" si="17">+E67</f>
        <v>0</v>
      </c>
      <c r="F66" s="69">
        <f t="shared" si="17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36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40.25" x14ac:dyDescent="0.25">
      <c r="A67" s="96" t="s">
        <v>473</v>
      </c>
      <c r="B67" s="67" t="s">
        <v>78</v>
      </c>
      <c r="C67" s="72" t="s">
        <v>476</v>
      </c>
      <c r="D67" s="133">
        <f>118000+425100</f>
        <v>543100</v>
      </c>
      <c r="E67" s="69">
        <v>0</v>
      </c>
      <c r="F67" s="69"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36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>
        <v>0</v>
      </c>
      <c r="BN67" s="3"/>
    </row>
    <row r="68" spans="1:66" s="4" customFormat="1" ht="51" x14ac:dyDescent="0.25">
      <c r="A68" s="82" t="s">
        <v>477</v>
      </c>
      <c r="B68" s="67" t="s">
        <v>6</v>
      </c>
      <c r="C68" s="68" t="s">
        <v>478</v>
      </c>
      <c r="D68" s="69">
        <f>+D69</f>
        <v>1029</v>
      </c>
      <c r="E68" s="69">
        <f t="shared" ref="E68:F68" si="18">+E69</f>
        <v>0</v>
      </c>
      <c r="F68" s="69">
        <f t="shared" si="18"/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36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14.75" x14ac:dyDescent="0.25">
      <c r="A69" s="82" t="s">
        <v>479</v>
      </c>
      <c r="B69" s="67" t="s">
        <v>78</v>
      </c>
      <c r="C69" s="68" t="s">
        <v>480</v>
      </c>
      <c r="D69" s="69">
        <v>1029</v>
      </c>
      <c r="E69" s="69">
        <v>0</v>
      </c>
      <c r="F69" s="69">
        <v>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36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25.5" x14ac:dyDescent="0.25">
      <c r="A70" s="82" t="s">
        <v>97</v>
      </c>
      <c r="B70" s="67" t="s">
        <v>6</v>
      </c>
      <c r="C70" s="68" t="s">
        <v>98</v>
      </c>
      <c r="D70" s="69">
        <f>+D71</f>
        <v>365624</v>
      </c>
      <c r="E70" s="69">
        <f t="shared" ref="D70:F71" si="19">+E71</f>
        <v>347000</v>
      </c>
      <c r="F70" s="69">
        <f t="shared" si="19"/>
        <v>382000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36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38.25" x14ac:dyDescent="0.25">
      <c r="A71" s="82" t="s">
        <v>99</v>
      </c>
      <c r="B71" s="67" t="s">
        <v>6</v>
      </c>
      <c r="C71" s="68" t="s">
        <v>100</v>
      </c>
      <c r="D71" s="69">
        <f t="shared" si="19"/>
        <v>365624</v>
      </c>
      <c r="E71" s="69">
        <f t="shared" si="19"/>
        <v>347000</v>
      </c>
      <c r="F71" s="69">
        <f t="shared" si="19"/>
        <v>382000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36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38.25" x14ac:dyDescent="0.25">
      <c r="A72" s="82" t="s">
        <v>101</v>
      </c>
      <c r="B72" s="67" t="s">
        <v>78</v>
      </c>
      <c r="C72" s="68" t="s">
        <v>102</v>
      </c>
      <c r="D72" s="133">
        <f>316000+4424+45200</f>
        <v>365624</v>
      </c>
      <c r="E72" s="69">
        <v>347000</v>
      </c>
      <c r="F72" s="69">
        <v>382000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36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63.75" x14ac:dyDescent="0.25">
      <c r="A73" s="82" t="s">
        <v>103</v>
      </c>
      <c r="B73" s="67" t="s">
        <v>6</v>
      </c>
      <c r="C73" s="68" t="s">
        <v>104</v>
      </c>
      <c r="D73" s="69">
        <f>+D74+D79</f>
        <v>19143113</v>
      </c>
      <c r="E73" s="69">
        <f t="shared" ref="E73:F73" si="20">+E74+E79</f>
        <v>18828837</v>
      </c>
      <c r="F73" s="69">
        <f t="shared" si="20"/>
        <v>19315977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36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63.75" x14ac:dyDescent="0.25">
      <c r="A74" s="82" t="s">
        <v>105</v>
      </c>
      <c r="B74" s="67" t="s">
        <v>6</v>
      </c>
      <c r="C74" s="70" t="s">
        <v>106</v>
      </c>
      <c r="D74" s="69">
        <f t="shared" ref="D74:F75" si="21">+D75</f>
        <v>7500000</v>
      </c>
      <c r="E74" s="69">
        <f t="shared" si="21"/>
        <v>7500000</v>
      </c>
      <c r="F74" s="69">
        <f t="shared" si="21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36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3.75" x14ac:dyDescent="0.25">
      <c r="A75" s="82" t="s">
        <v>107</v>
      </c>
      <c r="B75" s="67" t="s">
        <v>6</v>
      </c>
      <c r="C75" s="68" t="s">
        <v>108</v>
      </c>
      <c r="D75" s="69">
        <f t="shared" si="21"/>
        <v>7500000</v>
      </c>
      <c r="E75" s="69">
        <f t="shared" si="21"/>
        <v>7500000</v>
      </c>
      <c r="F75" s="69">
        <f t="shared" si="21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36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89.25" x14ac:dyDescent="0.2">
      <c r="A76" s="83" t="s">
        <v>109</v>
      </c>
      <c r="B76" s="67" t="s">
        <v>6</v>
      </c>
      <c r="C76" s="68" t="s">
        <v>110</v>
      </c>
      <c r="D76" s="69">
        <f t="shared" ref="D76:F76" si="22">+D77+D78</f>
        <v>7500000</v>
      </c>
      <c r="E76" s="69">
        <f t="shared" si="22"/>
        <v>7500000</v>
      </c>
      <c r="F76" s="69">
        <f t="shared" si="22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36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9.25" x14ac:dyDescent="0.2">
      <c r="A77" s="83" t="s">
        <v>111</v>
      </c>
      <c r="B77" s="67" t="s">
        <v>80</v>
      </c>
      <c r="C77" s="68" t="s">
        <v>112</v>
      </c>
      <c r="D77" s="69">
        <v>7000000</v>
      </c>
      <c r="E77" s="69">
        <v>7000000</v>
      </c>
      <c r="F77" s="69">
        <v>7000000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36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9.25" x14ac:dyDescent="0.2">
      <c r="A78" s="83" t="s">
        <v>113</v>
      </c>
      <c r="B78" s="67" t="s">
        <v>80</v>
      </c>
      <c r="C78" s="68" t="s">
        <v>114</v>
      </c>
      <c r="D78" s="69">
        <f>350000+150000</f>
        <v>500000</v>
      </c>
      <c r="E78" s="69">
        <f t="shared" ref="E78:F78" si="23">350000+150000</f>
        <v>500000</v>
      </c>
      <c r="F78" s="69">
        <f t="shared" si="23"/>
        <v>500000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36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9.25" x14ac:dyDescent="0.2">
      <c r="A79" s="84" t="s">
        <v>302</v>
      </c>
      <c r="B79" s="16" t="s">
        <v>6</v>
      </c>
      <c r="C79" s="17" t="s">
        <v>301</v>
      </c>
      <c r="D79" s="55">
        <f>+D80</f>
        <v>11643113</v>
      </c>
      <c r="E79" s="55">
        <f t="shared" ref="E79:F79" si="24">+E80</f>
        <v>11328837</v>
      </c>
      <c r="F79" s="55">
        <f t="shared" si="24"/>
        <v>11815977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36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76.5" x14ac:dyDescent="0.2">
      <c r="A80" s="84" t="s">
        <v>303</v>
      </c>
      <c r="B80" s="16" t="s">
        <v>6</v>
      </c>
      <c r="C80" s="17" t="s">
        <v>321</v>
      </c>
      <c r="D80" s="55">
        <f>+D81+D83+D85</f>
        <v>11643113</v>
      </c>
      <c r="E80" s="55">
        <f t="shared" ref="E80:F80" si="25">+E81+E83+E85</f>
        <v>11328837</v>
      </c>
      <c r="F80" s="55">
        <f t="shared" si="25"/>
        <v>11815977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36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76.5" x14ac:dyDescent="0.2">
      <c r="A81" s="84" t="s">
        <v>303</v>
      </c>
      <c r="B81" s="16" t="s">
        <v>6</v>
      </c>
      <c r="C81" s="17" t="s">
        <v>306</v>
      </c>
      <c r="D81" s="55">
        <f t="shared" ref="D81:F81" si="26">+D82</f>
        <v>5897114</v>
      </c>
      <c r="E81" s="55">
        <f t="shared" si="26"/>
        <v>6132999</v>
      </c>
      <c r="F81" s="55">
        <f t="shared" si="26"/>
        <v>6396718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36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02" x14ac:dyDescent="0.2">
      <c r="A82" s="81" t="s">
        <v>356</v>
      </c>
      <c r="B82" s="16" t="s">
        <v>78</v>
      </c>
      <c r="C82" s="17" t="s">
        <v>304</v>
      </c>
      <c r="D82" s="55">
        <f>6468845-571731</f>
        <v>5897114</v>
      </c>
      <c r="E82" s="55">
        <f>6747005-614006</f>
        <v>6132999</v>
      </c>
      <c r="F82" s="55">
        <f>7037127-640409</f>
        <v>6396718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36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6.5" x14ac:dyDescent="0.2">
      <c r="A83" s="84" t="s">
        <v>303</v>
      </c>
      <c r="B83" s="16" t="s">
        <v>6</v>
      </c>
      <c r="C83" s="17" t="s">
        <v>307</v>
      </c>
      <c r="D83" s="55">
        <f t="shared" ref="D83:F83" si="27">+D84</f>
        <v>2292979</v>
      </c>
      <c r="E83" s="55">
        <f t="shared" si="27"/>
        <v>2384698</v>
      </c>
      <c r="F83" s="55">
        <f t="shared" si="27"/>
        <v>2487240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36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114.75" x14ac:dyDescent="0.2">
      <c r="A84" s="81" t="s">
        <v>344</v>
      </c>
      <c r="B84" s="16" t="s">
        <v>78</v>
      </c>
      <c r="C84" s="17" t="s">
        <v>305</v>
      </c>
      <c r="D84" s="55">
        <f>2350359-57380</f>
        <v>2292979</v>
      </c>
      <c r="E84" s="55">
        <f>2451425-66727</f>
        <v>2384698</v>
      </c>
      <c r="F84" s="55">
        <f>2556836-69596</f>
        <v>2487240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36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76.5" x14ac:dyDescent="0.2">
      <c r="A85" s="81" t="s">
        <v>303</v>
      </c>
      <c r="B85" s="16" t="s">
        <v>6</v>
      </c>
      <c r="C85" s="66" t="s">
        <v>308</v>
      </c>
      <c r="D85" s="55">
        <f t="shared" ref="D85:F85" si="28">+D86</f>
        <v>3453020</v>
      </c>
      <c r="E85" s="55">
        <f t="shared" si="28"/>
        <v>2811140</v>
      </c>
      <c r="F85" s="55">
        <f t="shared" si="28"/>
        <v>2932019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36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89.25" x14ac:dyDescent="0.2">
      <c r="A86" s="81" t="s">
        <v>345</v>
      </c>
      <c r="B86" s="16" t="s">
        <v>78</v>
      </c>
      <c r="C86" s="66" t="s">
        <v>309</v>
      </c>
      <c r="D86" s="118">
        <f>2391394+311626+750000</f>
        <v>3453020</v>
      </c>
      <c r="E86" s="55">
        <f>2494224+316916</f>
        <v>2811140</v>
      </c>
      <c r="F86" s="55">
        <f>2601475+330544</f>
        <v>2932019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36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25.5" x14ac:dyDescent="0.25">
      <c r="A87" s="101" t="s">
        <v>115</v>
      </c>
      <c r="B87" s="16" t="s">
        <v>6</v>
      </c>
      <c r="C87" s="17" t="s">
        <v>116</v>
      </c>
      <c r="D87" s="55">
        <f>+D88+D93</f>
        <v>18951506</v>
      </c>
      <c r="E87" s="55">
        <f>+E88+E93</f>
        <v>20245246</v>
      </c>
      <c r="F87" s="55">
        <f>+F88+F93</f>
        <v>21036275.600000001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36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6"/>
      <c r="AS87" s="6"/>
      <c r="AT87" s="3"/>
      <c r="AU87" s="3"/>
      <c r="AV87" s="3"/>
      <c r="AW87" s="3"/>
      <c r="BM87" s="3"/>
      <c r="BN87" s="3"/>
    </row>
    <row r="88" spans="1:66" s="4" customFormat="1" x14ac:dyDescent="0.25">
      <c r="A88" s="110" t="s">
        <v>117</v>
      </c>
      <c r="B88" s="112" t="s">
        <v>6</v>
      </c>
      <c r="C88" s="113" t="s">
        <v>118</v>
      </c>
      <c r="D88" s="134">
        <f>+D89+D90+D91</f>
        <v>18482000</v>
      </c>
      <c r="E88" s="134">
        <f t="shared" ref="E88:F88" si="29">+E89+E90+E91</f>
        <v>19775740</v>
      </c>
      <c r="F88" s="134">
        <f t="shared" si="29"/>
        <v>20566769.600000001</v>
      </c>
      <c r="G88" s="3"/>
      <c r="H88" s="3"/>
      <c r="I88" s="3"/>
      <c r="J88" s="3"/>
      <c r="K88" s="3"/>
      <c r="L88" s="184"/>
      <c r="M88" s="3"/>
      <c r="N88" s="3"/>
      <c r="O88" s="3"/>
      <c r="P88" s="3"/>
      <c r="Q88" s="3"/>
      <c r="R88" s="3"/>
      <c r="S88" s="3"/>
      <c r="T88" s="3"/>
      <c r="U88" s="3"/>
      <c r="V88" s="136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85"/>
      <c r="AN88" s="3"/>
      <c r="AO88" s="3"/>
      <c r="AP88" s="3"/>
      <c r="AQ88" s="3"/>
      <c r="AR88" s="184"/>
      <c r="AS88" s="6"/>
      <c r="AT88" s="3"/>
      <c r="AU88" s="3"/>
      <c r="AV88" s="3"/>
      <c r="AW88" s="3"/>
      <c r="BM88" s="3"/>
      <c r="BN88" s="3"/>
    </row>
    <row r="89" spans="1:66" s="4" customFormat="1" ht="25.5" x14ac:dyDescent="0.25">
      <c r="A89" s="110" t="s">
        <v>346</v>
      </c>
      <c r="B89" s="112" t="s">
        <v>119</v>
      </c>
      <c r="C89" s="113" t="s">
        <v>120</v>
      </c>
      <c r="D89" s="118">
        <f>2689692.87-184692.87</f>
        <v>2505000</v>
      </c>
      <c r="E89" s="118">
        <f>2797280.59-116930.59</f>
        <v>2680350</v>
      </c>
      <c r="F89" s="118">
        <f>2909171.81-121607.81</f>
        <v>2787564</v>
      </c>
      <c r="G89" s="3"/>
      <c r="H89" s="25"/>
      <c r="I89" s="25"/>
      <c r="J89" s="25"/>
      <c r="K89" s="25"/>
      <c r="L89" s="184"/>
      <c r="M89" s="3"/>
      <c r="N89" s="3"/>
      <c r="O89" s="3"/>
      <c r="P89" s="3"/>
      <c r="Q89" s="3"/>
      <c r="R89" s="3"/>
      <c r="S89" s="3"/>
      <c r="T89" s="3"/>
      <c r="U89" s="3"/>
      <c r="V89" s="136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85"/>
      <c r="AN89" s="25"/>
      <c r="AO89" s="25"/>
      <c r="AP89" s="25"/>
      <c r="AQ89" s="25"/>
      <c r="AR89" s="184"/>
      <c r="AS89" s="6"/>
      <c r="AT89" s="3"/>
      <c r="AU89" s="3"/>
      <c r="AV89" s="3"/>
      <c r="AW89" s="3"/>
      <c r="BM89" s="57"/>
      <c r="BN89" s="3"/>
    </row>
    <row r="90" spans="1:66" s="4" customFormat="1" x14ac:dyDescent="0.25">
      <c r="A90" s="110" t="s">
        <v>121</v>
      </c>
      <c r="B90" s="112" t="s">
        <v>119</v>
      </c>
      <c r="C90" s="113" t="s">
        <v>122</v>
      </c>
      <c r="D90" s="118">
        <f>27893667.63-12968667.63</f>
        <v>14924999.999999998</v>
      </c>
      <c r="E90" s="118">
        <f>29009414.34-13039664.34</f>
        <v>15969750</v>
      </c>
      <c r="F90" s="118">
        <f>30169790.91-13561250.91</f>
        <v>16608540</v>
      </c>
      <c r="G90" s="3"/>
      <c r="H90" s="25"/>
      <c r="I90" s="25"/>
      <c r="J90" s="25"/>
      <c r="K90" s="25"/>
      <c r="L90" s="184"/>
      <c r="M90" s="3"/>
      <c r="N90" s="3"/>
      <c r="O90" s="3"/>
      <c r="P90" s="3"/>
      <c r="Q90" s="3"/>
      <c r="R90" s="3"/>
      <c r="S90" s="3"/>
      <c r="T90" s="3"/>
      <c r="U90" s="3"/>
      <c r="V90" s="136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85"/>
      <c r="AN90" s="25"/>
      <c r="AO90" s="25"/>
      <c r="AP90" s="25"/>
      <c r="AQ90" s="25"/>
      <c r="AR90" s="184"/>
      <c r="AS90" s="6"/>
      <c r="AT90" s="3"/>
      <c r="AU90" s="3"/>
      <c r="AV90" s="3"/>
      <c r="AW90" s="3"/>
      <c r="BM90" s="57"/>
      <c r="BN90" s="3"/>
    </row>
    <row r="91" spans="1:66" s="4" customFormat="1" x14ac:dyDescent="0.25">
      <c r="A91" s="81" t="s">
        <v>123</v>
      </c>
      <c r="B91" s="16" t="s">
        <v>6</v>
      </c>
      <c r="C91" s="17" t="s">
        <v>124</v>
      </c>
      <c r="D91" s="55">
        <f>+D92</f>
        <v>1052000</v>
      </c>
      <c r="E91" s="55">
        <f t="shared" ref="E91:F91" si="30">+E92</f>
        <v>1125640</v>
      </c>
      <c r="F91" s="55">
        <f t="shared" si="30"/>
        <v>1170665.6000000001</v>
      </c>
      <c r="G91" s="3"/>
      <c r="H91" s="25"/>
      <c r="I91" s="25"/>
      <c r="J91" s="25"/>
      <c r="K91" s="25"/>
      <c r="L91" s="184"/>
      <c r="M91" s="3"/>
      <c r="N91" s="3"/>
      <c r="O91" s="3"/>
      <c r="P91" s="3"/>
      <c r="Q91" s="3"/>
      <c r="R91" s="3"/>
      <c r="S91" s="3"/>
      <c r="T91" s="3"/>
      <c r="U91" s="3"/>
      <c r="V91" s="136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85"/>
      <c r="AN91" s="25"/>
      <c r="AO91" s="25"/>
      <c r="AP91" s="25"/>
      <c r="AQ91" s="25"/>
      <c r="AR91" s="184"/>
      <c r="AS91" s="6"/>
      <c r="AT91" s="3"/>
      <c r="AU91" s="3"/>
      <c r="AV91" s="3"/>
      <c r="AW91" s="3"/>
      <c r="BM91" s="3"/>
      <c r="BN91" s="3"/>
    </row>
    <row r="92" spans="1:66" s="4" customFormat="1" x14ac:dyDescent="0.25">
      <c r="A92" s="110" t="s">
        <v>125</v>
      </c>
      <c r="B92" s="112" t="s">
        <v>119</v>
      </c>
      <c r="C92" s="113" t="s">
        <v>126</v>
      </c>
      <c r="D92" s="118">
        <f>3344000-2292000</f>
        <v>1052000</v>
      </c>
      <c r="E92" s="118">
        <f>3477760-2352120</f>
        <v>1125640</v>
      </c>
      <c r="F92" s="118">
        <f>3616870.4-2446204.8</f>
        <v>1170665.6000000001</v>
      </c>
      <c r="G92" s="3"/>
      <c r="H92" s="25"/>
      <c r="I92" s="25"/>
      <c r="J92" s="25"/>
      <c r="K92" s="25"/>
      <c r="L92" s="184"/>
      <c r="M92" s="3"/>
      <c r="N92" s="3"/>
      <c r="O92" s="3"/>
      <c r="P92" s="3"/>
      <c r="Q92" s="3"/>
      <c r="R92" s="3"/>
      <c r="S92" s="3"/>
      <c r="T92" s="3"/>
      <c r="U92" s="3"/>
      <c r="V92" s="136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85"/>
      <c r="AN92" s="25"/>
      <c r="AO92" s="25"/>
      <c r="AP92" s="25"/>
      <c r="AQ92" s="25"/>
      <c r="AR92" s="184"/>
      <c r="AS92" s="6"/>
      <c r="AT92" s="3"/>
      <c r="AU92" s="3"/>
      <c r="AV92" s="3"/>
      <c r="AW92" s="3"/>
      <c r="BM92" s="57"/>
      <c r="BN92" s="3"/>
    </row>
    <row r="93" spans="1:66" s="4" customFormat="1" x14ac:dyDescent="0.25">
      <c r="A93" s="81" t="s">
        <v>127</v>
      </c>
      <c r="B93" s="16" t="s">
        <v>6</v>
      </c>
      <c r="C93" s="17" t="s">
        <v>128</v>
      </c>
      <c r="D93" s="55">
        <f t="shared" ref="D93:F94" si="31">+D94</f>
        <v>469506</v>
      </c>
      <c r="E93" s="55">
        <f t="shared" si="31"/>
        <v>469506</v>
      </c>
      <c r="F93" s="55">
        <f t="shared" si="31"/>
        <v>469506</v>
      </c>
      <c r="G93" s="3"/>
      <c r="H93" s="25"/>
      <c r="I93" s="25"/>
      <c r="J93" s="25"/>
      <c r="K93" s="25"/>
      <c r="L93" s="184"/>
      <c r="M93" s="3"/>
      <c r="N93" s="3"/>
      <c r="O93" s="3"/>
      <c r="P93" s="3"/>
      <c r="Q93" s="3"/>
      <c r="R93" s="3"/>
      <c r="S93" s="3"/>
      <c r="T93" s="3"/>
      <c r="U93" s="3"/>
      <c r="V93" s="136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25"/>
      <c r="AO93" s="25"/>
      <c r="AP93" s="25"/>
      <c r="AQ93" s="25"/>
      <c r="AR93" s="184"/>
      <c r="AS93" s="6"/>
      <c r="AT93" s="3"/>
      <c r="AU93" s="3"/>
      <c r="AV93" s="3"/>
      <c r="AW93" s="3"/>
      <c r="BM93" s="3"/>
      <c r="BN93" s="3"/>
    </row>
    <row r="94" spans="1:66" s="4" customFormat="1" ht="25.5" x14ac:dyDescent="0.25">
      <c r="A94" s="81" t="s">
        <v>129</v>
      </c>
      <c r="B94" s="16" t="s">
        <v>6</v>
      </c>
      <c r="C94" s="17" t="s">
        <v>130</v>
      </c>
      <c r="D94" s="55">
        <f t="shared" si="31"/>
        <v>469506</v>
      </c>
      <c r="E94" s="55">
        <f t="shared" si="31"/>
        <v>469506</v>
      </c>
      <c r="F94" s="55">
        <f t="shared" si="31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36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38.25" x14ac:dyDescent="0.25">
      <c r="A95" s="81" t="s">
        <v>131</v>
      </c>
      <c r="B95" s="16" t="s">
        <v>78</v>
      </c>
      <c r="C95" s="17" t="s">
        <v>132</v>
      </c>
      <c r="D95" s="55">
        <v>469506</v>
      </c>
      <c r="E95" s="55">
        <v>469506</v>
      </c>
      <c r="F95" s="55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36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23" customFormat="1" ht="25.5" x14ac:dyDescent="0.2">
      <c r="A96" s="81" t="s">
        <v>133</v>
      </c>
      <c r="B96" s="16" t="s">
        <v>6</v>
      </c>
      <c r="C96" s="17" t="s">
        <v>134</v>
      </c>
      <c r="D96" s="55">
        <f>+D101+D97</f>
        <v>97059202.49000001</v>
      </c>
      <c r="E96" s="55">
        <f t="shared" ref="E96:F96" si="32">+E101+E97</f>
        <v>1772188</v>
      </c>
      <c r="F96" s="55">
        <f t="shared" si="32"/>
        <v>1775421</v>
      </c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3"/>
      <c r="U96" s="3"/>
      <c r="V96" s="136"/>
      <c r="W96" s="3"/>
      <c r="X96" s="3"/>
      <c r="Y96" s="22"/>
      <c r="Z96" s="22"/>
      <c r="AC96" s="21"/>
      <c r="AD96" s="21"/>
      <c r="AE96" s="21"/>
      <c r="AF96" s="21"/>
      <c r="AG96" s="21"/>
      <c r="AH96" s="21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BM96" s="22"/>
      <c r="BN96" s="22"/>
    </row>
    <row r="97" spans="1:66" s="4" customFormat="1" x14ac:dyDescent="0.25">
      <c r="A97" s="81" t="s">
        <v>135</v>
      </c>
      <c r="B97" s="16" t="s">
        <v>6</v>
      </c>
      <c r="C97" s="17" t="s">
        <v>136</v>
      </c>
      <c r="D97" s="55">
        <f t="shared" ref="D97:F98" si="33">+D98</f>
        <v>38000</v>
      </c>
      <c r="E97" s="55">
        <f t="shared" si="33"/>
        <v>75188</v>
      </c>
      <c r="F97" s="55">
        <f t="shared" si="33"/>
        <v>78421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36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x14ac:dyDescent="0.25">
      <c r="A98" s="81" t="s">
        <v>137</v>
      </c>
      <c r="B98" s="16" t="s">
        <v>6</v>
      </c>
      <c r="C98" s="17" t="s">
        <v>138</v>
      </c>
      <c r="D98" s="55">
        <f t="shared" si="33"/>
        <v>38000</v>
      </c>
      <c r="E98" s="55">
        <f t="shared" si="33"/>
        <v>75188</v>
      </c>
      <c r="F98" s="55">
        <f t="shared" si="33"/>
        <v>78421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36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25.5" x14ac:dyDescent="0.25">
      <c r="A99" s="81" t="s">
        <v>139</v>
      </c>
      <c r="B99" s="16" t="s">
        <v>6</v>
      </c>
      <c r="C99" s="66" t="s">
        <v>140</v>
      </c>
      <c r="D99" s="55">
        <f>SUM(D100:D100)</f>
        <v>38000</v>
      </c>
      <c r="E99" s="55">
        <f>SUM(E100:E100)</f>
        <v>75188</v>
      </c>
      <c r="F99" s="55">
        <f>SUM(F100:F100)</f>
        <v>78421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36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63.75" x14ac:dyDescent="0.2">
      <c r="A100" s="85" t="s">
        <v>481</v>
      </c>
      <c r="B100" s="16" t="s">
        <v>78</v>
      </c>
      <c r="C100" s="66" t="s">
        <v>141</v>
      </c>
      <c r="D100" s="118">
        <f>74106-1810-34296</f>
        <v>38000</v>
      </c>
      <c r="E100" s="55">
        <v>75188</v>
      </c>
      <c r="F100" s="55">
        <v>78421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36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BM100" s="3"/>
      <c r="BN100" s="3"/>
    </row>
    <row r="101" spans="1:66" s="4" customFormat="1" x14ac:dyDescent="0.25">
      <c r="A101" s="81" t="s">
        <v>142</v>
      </c>
      <c r="B101" s="16" t="s">
        <v>6</v>
      </c>
      <c r="C101" s="17" t="s">
        <v>143</v>
      </c>
      <c r="D101" s="55">
        <f t="shared" ref="D101:F102" si="34">+D102</f>
        <v>97021202.49000001</v>
      </c>
      <c r="E101" s="55">
        <f t="shared" si="34"/>
        <v>1697000</v>
      </c>
      <c r="F101" s="55">
        <f t="shared" si="34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36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x14ac:dyDescent="0.25">
      <c r="A102" s="81" t="s">
        <v>144</v>
      </c>
      <c r="B102" s="16" t="s">
        <v>6</v>
      </c>
      <c r="C102" s="17" t="s">
        <v>145</v>
      </c>
      <c r="D102" s="55">
        <f>+D103</f>
        <v>97021202.49000001</v>
      </c>
      <c r="E102" s="55">
        <f t="shared" si="34"/>
        <v>1697000</v>
      </c>
      <c r="F102" s="55">
        <f t="shared" si="34"/>
        <v>1697000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36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5.5" x14ac:dyDescent="0.25">
      <c r="A103" s="81" t="s">
        <v>146</v>
      </c>
      <c r="B103" s="16" t="s">
        <v>6</v>
      </c>
      <c r="C103" s="17" t="s">
        <v>147</v>
      </c>
      <c r="D103" s="55">
        <f>+D111+D112+D110+D107+D106+D109+D108+D105+D104</f>
        <v>97021202.49000001</v>
      </c>
      <c r="E103" s="55">
        <f t="shared" ref="E103:F103" si="35">+E111+E112+E110+E107+E106+E109+E108+E105+E104</f>
        <v>1697000</v>
      </c>
      <c r="F103" s="55">
        <f t="shared" si="35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36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5.5" x14ac:dyDescent="0.25">
      <c r="A104" s="126" t="s">
        <v>146</v>
      </c>
      <c r="B104" s="123" t="s">
        <v>256</v>
      </c>
      <c r="C104" s="127" t="s">
        <v>147</v>
      </c>
      <c r="D104" s="118">
        <v>5000</v>
      </c>
      <c r="E104" s="118">
        <v>0</v>
      </c>
      <c r="F104" s="1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36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5.5" x14ac:dyDescent="0.25">
      <c r="A105" s="101" t="s">
        <v>146</v>
      </c>
      <c r="B105" s="16" t="s">
        <v>78</v>
      </c>
      <c r="C105" s="17" t="s">
        <v>147</v>
      </c>
      <c r="D105" s="133">
        <f>5324+18857</f>
        <v>24181</v>
      </c>
      <c r="E105" s="55">
        <v>0</v>
      </c>
      <c r="F105" s="5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36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5.5" x14ac:dyDescent="0.25">
      <c r="A106" s="101" t="s">
        <v>146</v>
      </c>
      <c r="B106" s="16" t="s">
        <v>249</v>
      </c>
      <c r="C106" s="17" t="s">
        <v>147</v>
      </c>
      <c r="D106" s="69">
        <v>77012.479999999996</v>
      </c>
      <c r="E106" s="55">
        <v>0</v>
      </c>
      <c r="F106" s="55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36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5.5" x14ac:dyDescent="0.25">
      <c r="A107" s="101" t="s">
        <v>146</v>
      </c>
      <c r="B107" s="16" t="s">
        <v>271</v>
      </c>
      <c r="C107" s="17" t="s">
        <v>147</v>
      </c>
      <c r="D107" s="69">
        <v>80302.95</v>
      </c>
      <c r="E107" s="55">
        <v>0</v>
      </c>
      <c r="F107" s="55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36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5.5" x14ac:dyDescent="0.25">
      <c r="A108" s="111" t="s">
        <v>146</v>
      </c>
      <c r="B108" s="112" t="s">
        <v>212</v>
      </c>
      <c r="C108" s="113" t="s">
        <v>147</v>
      </c>
      <c r="D108" s="125">
        <f>74.07+366408.21</f>
        <v>366482.28</v>
      </c>
      <c r="E108" s="104">
        <v>0</v>
      </c>
      <c r="F108" s="104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36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5.5" x14ac:dyDescent="0.25">
      <c r="A109" s="101" t="s">
        <v>146</v>
      </c>
      <c r="B109" s="16" t="s">
        <v>460</v>
      </c>
      <c r="C109" s="17" t="s">
        <v>147</v>
      </c>
      <c r="D109" s="69">
        <v>525.97</v>
      </c>
      <c r="E109" s="55">
        <v>0</v>
      </c>
      <c r="F109" s="55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36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25.5" x14ac:dyDescent="0.2">
      <c r="A110" s="85" t="s">
        <v>376</v>
      </c>
      <c r="B110" s="16" t="s">
        <v>80</v>
      </c>
      <c r="C110" s="17" t="s">
        <v>147</v>
      </c>
      <c r="D110" s="118">
        <f>3390428.13+2906.5+350867.28</f>
        <v>3744201.91</v>
      </c>
      <c r="E110" s="55">
        <v>0</v>
      </c>
      <c r="F110" s="55"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36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BM110" s="3"/>
      <c r="BN110" s="3"/>
    </row>
    <row r="111" spans="1:66" s="4" customFormat="1" ht="38.25" x14ac:dyDescent="0.2">
      <c r="A111" s="101" t="s">
        <v>148</v>
      </c>
      <c r="B111" s="16" t="s">
        <v>80</v>
      </c>
      <c r="C111" s="17" t="s">
        <v>149</v>
      </c>
      <c r="D111" s="118">
        <f>787000+89135196+1891299.9</f>
        <v>91813495.900000006</v>
      </c>
      <c r="E111" s="55">
        <v>787000</v>
      </c>
      <c r="F111" s="55">
        <v>787000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36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BM111" s="3"/>
      <c r="BN111" s="3"/>
    </row>
    <row r="112" spans="1:66" s="4" customFormat="1" ht="25.5" x14ac:dyDescent="0.2">
      <c r="A112" s="85" t="s">
        <v>150</v>
      </c>
      <c r="B112" s="16" t="s">
        <v>80</v>
      </c>
      <c r="C112" s="17" t="s">
        <v>151</v>
      </c>
      <c r="D112" s="55">
        <v>910000</v>
      </c>
      <c r="E112" s="55">
        <v>910000</v>
      </c>
      <c r="F112" s="55">
        <v>910000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36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BM112" s="3"/>
      <c r="BN112" s="3"/>
    </row>
    <row r="113" spans="1:66" s="23" customFormat="1" ht="25.5" x14ac:dyDescent="0.2">
      <c r="A113" s="81" t="s">
        <v>152</v>
      </c>
      <c r="B113" s="16" t="s">
        <v>6</v>
      </c>
      <c r="C113" s="17" t="s">
        <v>153</v>
      </c>
      <c r="D113" s="55">
        <f>+D114+D119+D117</f>
        <v>15520537.92</v>
      </c>
      <c r="E113" s="55">
        <f>+E114+E119+E117</f>
        <v>10470744</v>
      </c>
      <c r="F113" s="55">
        <f>+F114+F119+F117</f>
        <v>10721982</v>
      </c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3"/>
      <c r="U113" s="3"/>
      <c r="V113" s="136"/>
      <c r="W113" s="3"/>
      <c r="X113" s="3"/>
      <c r="Y113" s="22"/>
      <c r="Z113" s="22"/>
      <c r="AC113" s="21"/>
      <c r="AD113" s="21"/>
      <c r="AE113" s="21"/>
      <c r="AF113" s="21"/>
      <c r="AG113" s="21"/>
      <c r="AH113" s="21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BM113" s="22"/>
      <c r="BN113" s="22"/>
    </row>
    <row r="114" spans="1:66" s="4" customFormat="1" ht="63.75" x14ac:dyDescent="0.25">
      <c r="A114" s="81" t="s">
        <v>154</v>
      </c>
      <c r="B114" s="32" t="s">
        <v>6</v>
      </c>
      <c r="C114" s="32" t="s">
        <v>155</v>
      </c>
      <c r="D114" s="55">
        <f t="shared" ref="D114:F115" si="36">+D115</f>
        <v>4628000</v>
      </c>
      <c r="E114" s="55">
        <f t="shared" si="36"/>
        <v>4628000</v>
      </c>
      <c r="F114" s="55">
        <f t="shared" si="36"/>
        <v>4628000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36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76.5" x14ac:dyDescent="0.25">
      <c r="A115" s="81" t="s">
        <v>156</v>
      </c>
      <c r="B115" s="32" t="s">
        <v>6</v>
      </c>
      <c r="C115" s="32" t="s">
        <v>157</v>
      </c>
      <c r="D115" s="55">
        <f t="shared" si="36"/>
        <v>4628000</v>
      </c>
      <c r="E115" s="55">
        <f t="shared" si="36"/>
        <v>4628000</v>
      </c>
      <c r="F115" s="55">
        <f t="shared" si="36"/>
        <v>4628000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36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76.5" x14ac:dyDescent="0.25">
      <c r="A116" s="81" t="s">
        <v>323</v>
      </c>
      <c r="B116" s="32" t="s">
        <v>78</v>
      </c>
      <c r="C116" s="32" t="s">
        <v>322</v>
      </c>
      <c r="D116" s="55">
        <v>4628000</v>
      </c>
      <c r="E116" s="55">
        <v>4628000</v>
      </c>
      <c r="F116" s="55"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36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38.25" x14ac:dyDescent="0.25">
      <c r="A117" s="130" t="s">
        <v>490</v>
      </c>
      <c r="B117" s="119" t="s">
        <v>6</v>
      </c>
      <c r="C117" s="131" t="s">
        <v>492</v>
      </c>
      <c r="D117" s="104">
        <f>+D118</f>
        <v>755637.92</v>
      </c>
      <c r="E117" s="104">
        <f t="shared" ref="E117:F117" si="37">+E118</f>
        <v>0</v>
      </c>
      <c r="F117" s="104">
        <f t="shared" si="37"/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36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38.25" x14ac:dyDescent="0.25">
      <c r="A118" s="130" t="s">
        <v>491</v>
      </c>
      <c r="B118" s="119" t="s">
        <v>80</v>
      </c>
      <c r="C118" s="131" t="s">
        <v>546</v>
      </c>
      <c r="D118" s="118">
        <v>755637.92</v>
      </c>
      <c r="E118" s="104">
        <v>0</v>
      </c>
      <c r="F118" s="104">
        <v>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36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5.5" x14ac:dyDescent="0.25">
      <c r="A119" s="81" t="s">
        <v>158</v>
      </c>
      <c r="B119" s="32" t="s">
        <v>6</v>
      </c>
      <c r="C119" s="71" t="s">
        <v>159</v>
      </c>
      <c r="D119" s="55">
        <f>+D120+D122</f>
        <v>10136900</v>
      </c>
      <c r="E119" s="55">
        <f>+E120+E122</f>
        <v>5842744</v>
      </c>
      <c r="F119" s="55">
        <f>+F120+F122</f>
        <v>6093982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36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25.5" x14ac:dyDescent="0.25">
      <c r="A120" s="81" t="s">
        <v>160</v>
      </c>
      <c r="B120" s="32" t="s">
        <v>6</v>
      </c>
      <c r="C120" s="71" t="s">
        <v>161</v>
      </c>
      <c r="D120" s="55">
        <f>+D121</f>
        <v>7546900</v>
      </c>
      <c r="E120" s="55">
        <f>+E121</f>
        <v>3375725</v>
      </c>
      <c r="F120" s="55">
        <f>+F121</f>
        <v>3520881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36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38.25" x14ac:dyDescent="0.25">
      <c r="A121" s="81" t="s">
        <v>162</v>
      </c>
      <c r="B121" s="32" t="s">
        <v>78</v>
      </c>
      <c r="C121" s="71" t="s">
        <v>163</v>
      </c>
      <c r="D121" s="118">
        <f>3245890+1500000+2010000+791010</f>
        <v>7546900</v>
      </c>
      <c r="E121" s="55">
        <v>3375725</v>
      </c>
      <c r="F121" s="55">
        <v>3520881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3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38.25" x14ac:dyDescent="0.25">
      <c r="A122" s="81" t="s">
        <v>164</v>
      </c>
      <c r="B122" s="32" t="s">
        <v>6</v>
      </c>
      <c r="C122" s="71" t="s">
        <v>165</v>
      </c>
      <c r="D122" s="55">
        <f>+D123</f>
        <v>2590000</v>
      </c>
      <c r="E122" s="55">
        <f>+E123</f>
        <v>2467019</v>
      </c>
      <c r="F122" s="55">
        <f>+F123</f>
        <v>2573101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36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51" x14ac:dyDescent="0.25">
      <c r="A123" s="81" t="s">
        <v>166</v>
      </c>
      <c r="B123" s="32" t="s">
        <v>78</v>
      </c>
      <c r="C123" s="71" t="s">
        <v>167</v>
      </c>
      <c r="D123" s="118">
        <f>2407672+182328</f>
        <v>2590000</v>
      </c>
      <c r="E123" s="55">
        <v>2467019</v>
      </c>
      <c r="F123" s="55">
        <v>2573101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36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x14ac:dyDescent="0.25">
      <c r="A124" s="81" t="s">
        <v>168</v>
      </c>
      <c r="B124" s="16" t="s">
        <v>6</v>
      </c>
      <c r="C124" s="17" t="s">
        <v>169</v>
      </c>
      <c r="D124" s="55">
        <f>+D125+D159+D161+D182+D171+D185</f>
        <v>12956558.439999999</v>
      </c>
      <c r="E124" s="55">
        <f>+E125+E159+E161+E182+E171</f>
        <v>13650504</v>
      </c>
      <c r="F124" s="55">
        <f>+F125+F159+F161+F182+F171</f>
        <v>14014395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36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4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25.5" x14ac:dyDescent="0.25">
      <c r="A125" s="81" t="s">
        <v>170</v>
      </c>
      <c r="B125" s="16" t="s">
        <v>6</v>
      </c>
      <c r="C125" s="17" t="s">
        <v>171</v>
      </c>
      <c r="D125" s="55">
        <f>+D126+D129+D132+D147+D153+D156+D135+D145+D151+D149+D137+D139+D141+D143</f>
        <v>4645081.01</v>
      </c>
      <c r="E125" s="55">
        <f t="shared" ref="E125:F125" si="38">+E126+E129+E132+E147+E153+E156+E135+E145+E151</f>
        <v>4481240</v>
      </c>
      <c r="F125" s="55">
        <f t="shared" si="38"/>
        <v>4485820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36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6"/>
      <c r="AS125" s="6"/>
      <c r="AT125" s="3"/>
      <c r="AU125" s="3"/>
      <c r="AV125" s="3"/>
      <c r="AW125" s="3"/>
      <c r="BM125" s="3"/>
      <c r="BN125" s="3"/>
    </row>
    <row r="126" spans="1:66" s="4" customFormat="1" ht="51" x14ac:dyDescent="0.2">
      <c r="A126" s="81" t="s">
        <v>172</v>
      </c>
      <c r="B126" s="16" t="s">
        <v>6</v>
      </c>
      <c r="C126" s="66" t="s">
        <v>173</v>
      </c>
      <c r="D126" s="55">
        <f>+D127+D128</f>
        <v>32490</v>
      </c>
      <c r="E126" s="55">
        <f t="shared" ref="E126:F126" si="39">+E127+E128</f>
        <v>33280</v>
      </c>
      <c r="F126" s="55">
        <f t="shared" si="39"/>
        <v>34100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36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63.75" x14ac:dyDescent="0.2">
      <c r="A127" s="81" t="s">
        <v>174</v>
      </c>
      <c r="B127" s="16" t="s">
        <v>175</v>
      </c>
      <c r="C127" s="66" t="s">
        <v>176</v>
      </c>
      <c r="D127" s="104">
        <v>19730</v>
      </c>
      <c r="E127" s="55">
        <v>20520</v>
      </c>
      <c r="F127" s="55">
        <v>21340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36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63.75" x14ac:dyDescent="0.2">
      <c r="A128" s="81" t="s">
        <v>174</v>
      </c>
      <c r="B128" s="16" t="s">
        <v>177</v>
      </c>
      <c r="C128" s="66" t="s">
        <v>176</v>
      </c>
      <c r="D128" s="104">
        <v>12760</v>
      </c>
      <c r="E128" s="55">
        <v>12760</v>
      </c>
      <c r="F128" s="55">
        <v>12760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36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63.75" x14ac:dyDescent="0.2">
      <c r="A129" s="81" t="s">
        <v>178</v>
      </c>
      <c r="B129" s="16" t="s">
        <v>6</v>
      </c>
      <c r="C129" s="66" t="s">
        <v>179</v>
      </c>
      <c r="D129" s="55">
        <f>+D130+D131</f>
        <v>505000</v>
      </c>
      <c r="E129" s="55">
        <f t="shared" ref="E129:F129" si="40">+E130+E131</f>
        <v>505660</v>
      </c>
      <c r="F129" s="55">
        <f t="shared" si="40"/>
        <v>506340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36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89.25" x14ac:dyDescent="0.2">
      <c r="A130" s="81" t="s">
        <v>180</v>
      </c>
      <c r="B130" s="16" t="s">
        <v>175</v>
      </c>
      <c r="C130" s="66" t="s">
        <v>181</v>
      </c>
      <c r="D130" s="104">
        <v>16380</v>
      </c>
      <c r="E130" s="55">
        <v>17040</v>
      </c>
      <c r="F130" s="55">
        <v>17720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36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89.25" x14ac:dyDescent="0.2">
      <c r="A131" s="81" t="s">
        <v>180</v>
      </c>
      <c r="B131" s="16" t="s">
        <v>177</v>
      </c>
      <c r="C131" s="66" t="s">
        <v>181</v>
      </c>
      <c r="D131" s="104">
        <v>488620</v>
      </c>
      <c r="E131" s="55">
        <v>488620</v>
      </c>
      <c r="F131" s="55">
        <v>488620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36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51" x14ac:dyDescent="0.2">
      <c r="A132" s="81" t="s">
        <v>182</v>
      </c>
      <c r="B132" s="16" t="s">
        <v>6</v>
      </c>
      <c r="C132" s="66" t="s">
        <v>183</v>
      </c>
      <c r="D132" s="55">
        <f>+D134+D133</f>
        <v>163601.93</v>
      </c>
      <c r="E132" s="55">
        <f t="shared" ref="E132:F132" si="41">+E134+E133</f>
        <v>22140</v>
      </c>
      <c r="F132" s="55">
        <f t="shared" si="41"/>
        <v>22240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36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76.5" x14ac:dyDescent="0.2">
      <c r="A133" s="81" t="s">
        <v>184</v>
      </c>
      <c r="B133" s="16" t="s">
        <v>175</v>
      </c>
      <c r="C133" s="66" t="s">
        <v>185</v>
      </c>
      <c r="D133" s="55">
        <v>2350</v>
      </c>
      <c r="E133" s="55">
        <v>2450</v>
      </c>
      <c r="F133" s="55">
        <v>2550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36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76.5" x14ac:dyDescent="0.2">
      <c r="A134" s="81" t="s">
        <v>184</v>
      </c>
      <c r="B134" s="16" t="s">
        <v>177</v>
      </c>
      <c r="C134" s="66" t="s">
        <v>185</v>
      </c>
      <c r="D134" s="118">
        <f>19690+141561.93</f>
        <v>161251.93</v>
      </c>
      <c r="E134" s="55">
        <v>19690</v>
      </c>
      <c r="F134" s="55">
        <v>19690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36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5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51" x14ac:dyDescent="0.2">
      <c r="A135" s="81" t="s">
        <v>186</v>
      </c>
      <c r="B135" s="16" t="s">
        <v>6</v>
      </c>
      <c r="C135" s="66" t="s">
        <v>187</v>
      </c>
      <c r="D135" s="55">
        <f t="shared" ref="D135:F135" si="42">+D136</f>
        <v>273350</v>
      </c>
      <c r="E135" s="55">
        <f t="shared" si="42"/>
        <v>273350</v>
      </c>
      <c r="F135" s="55">
        <f t="shared" si="42"/>
        <v>273350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36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76.5" x14ac:dyDescent="0.2">
      <c r="A136" s="81" t="s">
        <v>188</v>
      </c>
      <c r="B136" s="16" t="s">
        <v>177</v>
      </c>
      <c r="C136" s="66" t="s">
        <v>189</v>
      </c>
      <c r="D136" s="55">
        <v>273350</v>
      </c>
      <c r="E136" s="55">
        <v>273350</v>
      </c>
      <c r="F136" s="55">
        <v>273350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36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1" x14ac:dyDescent="0.2">
      <c r="A137" s="140" t="s">
        <v>505</v>
      </c>
      <c r="B137" s="16" t="s">
        <v>6</v>
      </c>
      <c r="C137" s="66" t="s">
        <v>547</v>
      </c>
      <c r="D137" s="55">
        <f>D138</f>
        <v>750</v>
      </c>
      <c r="E137" s="55">
        <f t="shared" ref="E137:F137" si="43">E138</f>
        <v>0</v>
      </c>
      <c r="F137" s="55">
        <f t="shared" si="43"/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36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x14ac:dyDescent="0.2">
      <c r="A138" s="140" t="s">
        <v>505</v>
      </c>
      <c r="B138" s="112" t="s">
        <v>177</v>
      </c>
      <c r="C138" s="66" t="s">
        <v>548</v>
      </c>
      <c r="D138" s="118">
        <v>750</v>
      </c>
      <c r="E138" s="55">
        <v>0</v>
      </c>
      <c r="F138" s="55">
        <v>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36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" x14ac:dyDescent="0.2">
      <c r="A139" s="139" t="s">
        <v>506</v>
      </c>
      <c r="B139" s="16" t="s">
        <v>6</v>
      </c>
      <c r="C139" s="72" t="s">
        <v>507</v>
      </c>
      <c r="D139" s="55">
        <f>+D140</f>
        <v>1650</v>
      </c>
      <c r="E139" s="55">
        <f t="shared" ref="E139:F139" si="44">+E140</f>
        <v>0</v>
      </c>
      <c r="F139" s="55">
        <f t="shared" si="44"/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36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76.5" x14ac:dyDescent="0.2">
      <c r="A140" s="139" t="s">
        <v>508</v>
      </c>
      <c r="B140" s="112" t="s">
        <v>177</v>
      </c>
      <c r="C140" s="77" t="s">
        <v>549</v>
      </c>
      <c r="D140" s="144">
        <v>1650</v>
      </c>
      <c r="E140" s="55">
        <v>0</v>
      </c>
      <c r="F140" s="55"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36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76.5" x14ac:dyDescent="0.2">
      <c r="A141" s="139" t="s">
        <v>509</v>
      </c>
      <c r="B141" s="16" t="s">
        <v>6</v>
      </c>
      <c r="C141" s="77" t="s">
        <v>510</v>
      </c>
      <c r="D141" s="143">
        <f>D142</f>
        <v>7500</v>
      </c>
      <c r="E141" s="143">
        <f t="shared" ref="E141:F141" si="45">E142</f>
        <v>0</v>
      </c>
      <c r="F141" s="143">
        <f t="shared" si="45"/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36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x14ac:dyDescent="0.2">
      <c r="A142" s="139" t="s">
        <v>511</v>
      </c>
      <c r="B142" s="16" t="s">
        <v>177</v>
      </c>
      <c r="C142" s="77" t="s">
        <v>512</v>
      </c>
      <c r="D142" s="144">
        <v>7500</v>
      </c>
      <c r="E142" s="55">
        <v>0</v>
      </c>
      <c r="F142" s="55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36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51" x14ac:dyDescent="0.2">
      <c r="A143" s="139" t="s">
        <v>513</v>
      </c>
      <c r="B143" s="16" t="s">
        <v>6</v>
      </c>
      <c r="C143" s="72" t="s">
        <v>514</v>
      </c>
      <c r="D143" s="55">
        <f>+D144</f>
        <v>15000</v>
      </c>
      <c r="E143" s="55">
        <f t="shared" ref="E143:F143" si="46">+E144</f>
        <v>0</v>
      </c>
      <c r="F143" s="55">
        <f t="shared" si="46"/>
        <v>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36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63.75" x14ac:dyDescent="0.2">
      <c r="A144" s="139" t="s">
        <v>515</v>
      </c>
      <c r="B144" s="16" t="s">
        <v>177</v>
      </c>
      <c r="C144" s="77" t="s">
        <v>550</v>
      </c>
      <c r="D144" s="144">
        <v>15000</v>
      </c>
      <c r="E144" s="55">
        <v>0</v>
      </c>
      <c r="F144" s="55"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36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63.75" x14ac:dyDescent="0.2">
      <c r="A145" s="81" t="s">
        <v>190</v>
      </c>
      <c r="B145" s="16" t="s">
        <v>6</v>
      </c>
      <c r="C145" s="66" t="s">
        <v>191</v>
      </c>
      <c r="D145" s="55">
        <f t="shared" ref="D145:F145" si="47">+D146</f>
        <v>821150</v>
      </c>
      <c r="E145" s="55">
        <f t="shared" si="47"/>
        <v>821150</v>
      </c>
      <c r="F145" s="55">
        <f t="shared" si="47"/>
        <v>821150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36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89.25" x14ac:dyDescent="0.2">
      <c r="A146" s="81" t="s">
        <v>192</v>
      </c>
      <c r="B146" s="16" t="s">
        <v>177</v>
      </c>
      <c r="C146" s="66" t="s">
        <v>193</v>
      </c>
      <c r="D146" s="55">
        <v>821150</v>
      </c>
      <c r="E146" s="55">
        <v>821150</v>
      </c>
      <c r="F146" s="55">
        <v>821150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36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3.75" x14ac:dyDescent="0.2">
      <c r="A147" s="81" t="s">
        <v>194</v>
      </c>
      <c r="B147" s="16" t="s">
        <v>6</v>
      </c>
      <c r="C147" s="66" t="s">
        <v>195</v>
      </c>
      <c r="D147" s="55">
        <f t="shared" ref="D147:F147" si="48">+D148</f>
        <v>45650</v>
      </c>
      <c r="E147" s="55">
        <f t="shared" si="48"/>
        <v>45650</v>
      </c>
      <c r="F147" s="55">
        <f t="shared" si="48"/>
        <v>45650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36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2" x14ac:dyDescent="0.2">
      <c r="A148" s="81" t="s">
        <v>196</v>
      </c>
      <c r="B148" s="16" t="s">
        <v>177</v>
      </c>
      <c r="C148" s="66" t="s">
        <v>197</v>
      </c>
      <c r="D148" s="55">
        <v>45650</v>
      </c>
      <c r="E148" s="55">
        <v>45650</v>
      </c>
      <c r="F148" s="55">
        <v>45650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36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1" x14ac:dyDescent="0.2">
      <c r="A149" s="142" t="s">
        <v>501</v>
      </c>
      <c r="B149" s="16" t="s">
        <v>6</v>
      </c>
      <c r="C149" s="72" t="s">
        <v>502</v>
      </c>
      <c r="D149" s="55">
        <f>+D150</f>
        <v>1799.08</v>
      </c>
      <c r="E149" s="55">
        <f t="shared" ref="E149:F149" si="49">+E150</f>
        <v>0</v>
      </c>
      <c r="F149" s="55">
        <f t="shared" si="49"/>
        <v>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36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5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x14ac:dyDescent="0.2">
      <c r="A150" s="142" t="s">
        <v>503</v>
      </c>
      <c r="B150" s="16" t="s">
        <v>177</v>
      </c>
      <c r="C150" s="72" t="s">
        <v>504</v>
      </c>
      <c r="D150" s="55">
        <v>1799.08</v>
      </c>
      <c r="E150" s="55">
        <v>0</v>
      </c>
      <c r="F150" s="55">
        <v>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36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1" x14ac:dyDescent="0.2">
      <c r="A151" s="81" t="s">
        <v>198</v>
      </c>
      <c r="B151" s="16" t="s">
        <v>6</v>
      </c>
      <c r="C151" s="66" t="s">
        <v>199</v>
      </c>
      <c r="D151" s="55">
        <f t="shared" ref="D151:F151" si="50">+D152</f>
        <v>10890</v>
      </c>
      <c r="E151" s="55">
        <f t="shared" si="50"/>
        <v>10890</v>
      </c>
      <c r="F151" s="55">
        <f t="shared" si="50"/>
        <v>10890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36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76.5" x14ac:dyDescent="0.2">
      <c r="A152" s="81" t="s">
        <v>200</v>
      </c>
      <c r="B152" s="16" t="s">
        <v>177</v>
      </c>
      <c r="C152" s="66" t="s">
        <v>201</v>
      </c>
      <c r="D152" s="55">
        <v>10890</v>
      </c>
      <c r="E152" s="55">
        <v>10890</v>
      </c>
      <c r="F152" s="55">
        <v>10890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36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51" x14ac:dyDescent="0.2">
      <c r="A153" s="81" t="s">
        <v>202</v>
      </c>
      <c r="B153" s="16" t="s">
        <v>6</v>
      </c>
      <c r="C153" s="66" t="s">
        <v>203</v>
      </c>
      <c r="D153" s="55">
        <f t="shared" ref="D153:F153" si="51">+D154+D155</f>
        <v>945580</v>
      </c>
      <c r="E153" s="55">
        <f t="shared" si="51"/>
        <v>946560</v>
      </c>
      <c r="F153" s="55">
        <f t="shared" si="51"/>
        <v>947580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36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3.75" x14ac:dyDescent="0.2">
      <c r="A154" s="81" t="s">
        <v>204</v>
      </c>
      <c r="B154" s="16" t="s">
        <v>175</v>
      </c>
      <c r="C154" s="66" t="s">
        <v>205</v>
      </c>
      <c r="D154" s="55">
        <v>24550</v>
      </c>
      <c r="E154" s="55">
        <v>25530</v>
      </c>
      <c r="F154" s="55">
        <v>26550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36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5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63.75" x14ac:dyDescent="0.2">
      <c r="A155" s="81" t="s">
        <v>204</v>
      </c>
      <c r="B155" s="16" t="s">
        <v>177</v>
      </c>
      <c r="C155" s="66" t="s">
        <v>205</v>
      </c>
      <c r="D155" s="55">
        <v>921030</v>
      </c>
      <c r="E155" s="55">
        <v>921030</v>
      </c>
      <c r="F155" s="55">
        <v>921030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36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63.75" x14ac:dyDescent="0.2">
      <c r="A156" s="81" t="s">
        <v>206</v>
      </c>
      <c r="B156" s="16" t="s">
        <v>6</v>
      </c>
      <c r="C156" s="66" t="s">
        <v>207</v>
      </c>
      <c r="D156" s="55">
        <f t="shared" ref="D156:F156" si="52">+D157+D158</f>
        <v>1820670</v>
      </c>
      <c r="E156" s="55">
        <f t="shared" si="52"/>
        <v>1822560</v>
      </c>
      <c r="F156" s="55">
        <f t="shared" si="52"/>
        <v>1824520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36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76.5" x14ac:dyDescent="0.2">
      <c r="A157" s="81" t="s">
        <v>208</v>
      </c>
      <c r="B157" s="16" t="s">
        <v>175</v>
      </c>
      <c r="C157" s="66" t="s">
        <v>209</v>
      </c>
      <c r="D157" s="55">
        <v>47140</v>
      </c>
      <c r="E157" s="55">
        <v>49030</v>
      </c>
      <c r="F157" s="55">
        <v>50990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36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5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76.5" x14ac:dyDescent="0.2">
      <c r="A158" s="81" t="s">
        <v>208</v>
      </c>
      <c r="B158" s="16" t="s">
        <v>177</v>
      </c>
      <c r="C158" s="66" t="s">
        <v>209</v>
      </c>
      <c r="D158" s="55">
        <v>1773530</v>
      </c>
      <c r="E158" s="55">
        <v>1773530</v>
      </c>
      <c r="F158" s="55">
        <v>1773530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36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5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38.25" x14ac:dyDescent="0.2">
      <c r="A159" s="81" t="s">
        <v>210</v>
      </c>
      <c r="B159" s="36" t="s">
        <v>6</v>
      </c>
      <c r="C159" s="37" t="s">
        <v>211</v>
      </c>
      <c r="D159" s="55">
        <f>+D160</f>
        <v>165000</v>
      </c>
      <c r="E159" s="55">
        <f>+E160</f>
        <v>165000</v>
      </c>
      <c r="F159" s="55">
        <f>+F160</f>
        <v>165000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36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63.75" x14ac:dyDescent="0.2">
      <c r="A160" s="81" t="s">
        <v>330</v>
      </c>
      <c r="B160" s="36" t="s">
        <v>212</v>
      </c>
      <c r="C160" s="37" t="s">
        <v>213</v>
      </c>
      <c r="D160" s="55">
        <f>160000+5000</f>
        <v>165000</v>
      </c>
      <c r="E160" s="55">
        <f t="shared" ref="E160:F160" si="53">160000+5000</f>
        <v>165000</v>
      </c>
      <c r="F160" s="55">
        <f t="shared" si="53"/>
        <v>165000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36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138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102" x14ac:dyDescent="0.2">
      <c r="A161" s="81" t="s">
        <v>214</v>
      </c>
      <c r="B161" s="16" t="s">
        <v>6</v>
      </c>
      <c r="C161" s="28" t="s">
        <v>331</v>
      </c>
      <c r="D161" s="55">
        <f>+D165+D162</f>
        <v>5338395.24</v>
      </c>
      <c r="E161" s="55">
        <f t="shared" ref="E161:F161" si="54">+E165+E162</f>
        <v>8356082</v>
      </c>
      <c r="F161" s="55">
        <f t="shared" si="54"/>
        <v>8715393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36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51" x14ac:dyDescent="0.2">
      <c r="A162" s="81" t="s">
        <v>370</v>
      </c>
      <c r="B162" s="16" t="s">
        <v>6</v>
      </c>
      <c r="C162" s="28" t="s">
        <v>371</v>
      </c>
      <c r="D162" s="55">
        <f>+D164+D163</f>
        <v>9583.34</v>
      </c>
      <c r="E162" s="55">
        <f t="shared" ref="E162:F162" si="55">+E164+E163</f>
        <v>0</v>
      </c>
      <c r="F162" s="55">
        <f t="shared" si="55"/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36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3.75" x14ac:dyDescent="0.2">
      <c r="A163" s="80" t="s">
        <v>372</v>
      </c>
      <c r="B163" s="16" t="s">
        <v>78</v>
      </c>
      <c r="C163" s="66" t="s">
        <v>373</v>
      </c>
      <c r="D163" s="55">
        <v>9432.14</v>
      </c>
      <c r="E163" s="55">
        <v>0</v>
      </c>
      <c r="F163" s="55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36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63.75" x14ac:dyDescent="0.2">
      <c r="A164" s="80" t="s">
        <v>372</v>
      </c>
      <c r="B164" s="16" t="s">
        <v>80</v>
      </c>
      <c r="C164" s="66" t="s">
        <v>373</v>
      </c>
      <c r="D164" s="55">
        <v>151.19999999999999</v>
      </c>
      <c r="E164" s="55">
        <v>0</v>
      </c>
      <c r="F164" s="55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36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76.5" x14ac:dyDescent="0.2">
      <c r="A165" s="81" t="s">
        <v>215</v>
      </c>
      <c r="B165" s="16" t="s">
        <v>6</v>
      </c>
      <c r="C165" s="17" t="s">
        <v>216</v>
      </c>
      <c r="D165" s="55">
        <f>+D167+D168+D170+D166+D169</f>
        <v>5328811.9000000004</v>
      </c>
      <c r="E165" s="55">
        <f t="shared" ref="E165:F165" si="56">+E167+E168+E170+E166</f>
        <v>8356082</v>
      </c>
      <c r="F165" s="55">
        <f t="shared" si="56"/>
        <v>8715393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36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63.75" x14ac:dyDescent="0.2">
      <c r="A166" s="81" t="s">
        <v>461</v>
      </c>
      <c r="B166" s="16" t="s">
        <v>78</v>
      </c>
      <c r="C166" s="17" t="s">
        <v>464</v>
      </c>
      <c r="D166" s="118">
        <v>24504</v>
      </c>
      <c r="E166" s="55">
        <v>0</v>
      </c>
      <c r="F166" s="55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36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76.5" x14ac:dyDescent="0.2">
      <c r="A167" s="81" t="s">
        <v>463</v>
      </c>
      <c r="B167" s="16" t="s">
        <v>78</v>
      </c>
      <c r="C167" s="17" t="s">
        <v>217</v>
      </c>
      <c r="D167" s="118">
        <f>384085-22908-100000</f>
        <v>261177</v>
      </c>
      <c r="E167" s="55">
        <f>399448-22740</f>
        <v>376708</v>
      </c>
      <c r="F167" s="55">
        <f>416624-23718</f>
        <v>392906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36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8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76.5" x14ac:dyDescent="0.2">
      <c r="A168" s="81" t="s">
        <v>462</v>
      </c>
      <c r="B168" s="16" t="s">
        <v>78</v>
      </c>
      <c r="C168" s="17" t="s">
        <v>218</v>
      </c>
      <c r="D168" s="118">
        <f>5057659+2592748-2995150</f>
        <v>4655257</v>
      </c>
      <c r="E168" s="55">
        <f>5259966+2719408</f>
        <v>7979374</v>
      </c>
      <c r="F168" s="55">
        <f>5486145+2836342</f>
        <v>8322487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36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8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63.75" x14ac:dyDescent="0.2">
      <c r="A169" s="140" t="s">
        <v>461</v>
      </c>
      <c r="B169" s="16" t="s">
        <v>212</v>
      </c>
      <c r="C169" s="17" t="s">
        <v>500</v>
      </c>
      <c r="D169" s="141">
        <v>2193.29</v>
      </c>
      <c r="E169" s="55">
        <v>0</v>
      </c>
      <c r="F169" s="55">
        <v>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36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8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63.75" x14ac:dyDescent="0.2">
      <c r="A170" s="81" t="s">
        <v>461</v>
      </c>
      <c r="B170" s="16" t="s">
        <v>80</v>
      </c>
      <c r="C170" s="17" t="s">
        <v>464</v>
      </c>
      <c r="D170" s="125">
        <f>25451.96+360228.65</f>
        <v>385680.61000000004</v>
      </c>
      <c r="E170" s="55">
        <v>0</v>
      </c>
      <c r="F170" s="55"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36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8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12.75" x14ac:dyDescent="0.2">
      <c r="A171" s="86" t="s">
        <v>219</v>
      </c>
      <c r="B171" s="16" t="s">
        <v>6</v>
      </c>
      <c r="C171" s="39" t="s">
        <v>220</v>
      </c>
      <c r="D171" s="55">
        <f>+D178+D172+D176</f>
        <v>161900.19</v>
      </c>
      <c r="E171" s="55">
        <f t="shared" ref="E171:F171" si="57">+E178+E172</f>
        <v>2000</v>
      </c>
      <c r="F171" s="55">
        <f t="shared" si="57"/>
        <v>2000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36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76.5" x14ac:dyDescent="0.2">
      <c r="A172" s="86" t="s">
        <v>465</v>
      </c>
      <c r="B172" s="16" t="s">
        <v>6</v>
      </c>
      <c r="C172" s="39" t="s">
        <v>466</v>
      </c>
      <c r="D172" s="55">
        <f>+D173+D174+D175</f>
        <v>145402.69</v>
      </c>
      <c r="E172" s="55">
        <f t="shared" ref="E172:F172" si="58">+E173+E174+E175</f>
        <v>0</v>
      </c>
      <c r="F172" s="55">
        <f t="shared" si="58"/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36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38.25" x14ac:dyDescent="0.2">
      <c r="A173" s="86" t="s">
        <v>467</v>
      </c>
      <c r="B173" s="16" t="s">
        <v>80</v>
      </c>
      <c r="C173" s="103" t="s">
        <v>468</v>
      </c>
      <c r="D173" s="153">
        <v>17434.97</v>
      </c>
      <c r="E173" s="55">
        <v>0</v>
      </c>
      <c r="F173" s="55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36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51" x14ac:dyDescent="0.2">
      <c r="A174" s="116" t="s">
        <v>469</v>
      </c>
      <c r="B174" s="112" t="s">
        <v>212</v>
      </c>
      <c r="C174" s="115" t="s">
        <v>470</v>
      </c>
      <c r="D174" s="125">
        <f>13751.02+5614.6</f>
        <v>19365.620000000003</v>
      </c>
      <c r="E174" s="104">
        <v>0</v>
      </c>
      <c r="F174" s="104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36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51" x14ac:dyDescent="0.2">
      <c r="A175" s="116" t="s">
        <v>469</v>
      </c>
      <c r="B175" s="112" t="s">
        <v>80</v>
      </c>
      <c r="C175" s="115" t="s">
        <v>470</v>
      </c>
      <c r="D175" s="125">
        <v>108602.1</v>
      </c>
      <c r="E175" s="104">
        <v>0</v>
      </c>
      <c r="F175" s="104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36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38.25" x14ac:dyDescent="0.2">
      <c r="A176" s="122" t="s">
        <v>486</v>
      </c>
      <c r="B176" s="123" t="s">
        <v>6</v>
      </c>
      <c r="C176" s="124" t="s">
        <v>488</v>
      </c>
      <c r="D176" s="125">
        <f>+D177</f>
        <v>10572.5</v>
      </c>
      <c r="E176" s="125">
        <f t="shared" ref="E176:F176" si="59">+E177</f>
        <v>0</v>
      </c>
      <c r="F176" s="125">
        <f t="shared" si="59"/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36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51" x14ac:dyDescent="0.2">
      <c r="A177" s="122" t="s">
        <v>487</v>
      </c>
      <c r="B177" s="123" t="s">
        <v>256</v>
      </c>
      <c r="C177" s="124" t="s">
        <v>489</v>
      </c>
      <c r="D177" s="125">
        <f>9552.5+1020</f>
        <v>10572.5</v>
      </c>
      <c r="E177" s="118">
        <v>0</v>
      </c>
      <c r="F177" s="118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36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63.75" x14ac:dyDescent="0.2">
      <c r="A178" s="81" t="s">
        <v>221</v>
      </c>
      <c r="B178" s="16" t="s">
        <v>6</v>
      </c>
      <c r="C178" s="17" t="s">
        <v>222</v>
      </c>
      <c r="D178" s="55">
        <f>+D179+D181</f>
        <v>5925</v>
      </c>
      <c r="E178" s="55">
        <f t="shared" ref="E178:F178" si="60">+E179+E181</f>
        <v>2000</v>
      </c>
      <c r="F178" s="55">
        <f t="shared" si="60"/>
        <v>2000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36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51" x14ac:dyDescent="0.2">
      <c r="A179" s="81" t="s">
        <v>300</v>
      </c>
      <c r="B179" s="16" t="s">
        <v>6</v>
      </c>
      <c r="C179" s="17" t="s">
        <v>224</v>
      </c>
      <c r="D179" s="55">
        <f>+D180</f>
        <v>2000</v>
      </c>
      <c r="E179" s="55">
        <f t="shared" ref="E179:F179" si="61">+E180</f>
        <v>2000</v>
      </c>
      <c r="F179" s="55">
        <f t="shared" si="61"/>
        <v>2000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36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114.75" x14ac:dyDescent="0.2">
      <c r="A180" s="81" t="s">
        <v>223</v>
      </c>
      <c r="B180" s="16" t="s">
        <v>347</v>
      </c>
      <c r="C180" s="17" t="s">
        <v>225</v>
      </c>
      <c r="D180" s="55">
        <v>2000</v>
      </c>
      <c r="E180" s="55">
        <v>2000</v>
      </c>
      <c r="F180" s="55">
        <v>2000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36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5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BM180" s="3"/>
      <c r="BN180" s="3"/>
    </row>
    <row r="181" spans="1:66" s="4" customFormat="1" ht="63.75" x14ac:dyDescent="0.2">
      <c r="A181" s="139" t="s">
        <v>498</v>
      </c>
      <c r="B181" s="16" t="s">
        <v>13</v>
      </c>
      <c r="C181" s="72" t="s">
        <v>499</v>
      </c>
      <c r="D181" s="118">
        <v>3925</v>
      </c>
      <c r="E181" s="55">
        <v>0</v>
      </c>
      <c r="F181" s="55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36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BM181" s="3"/>
      <c r="BN181" s="3"/>
    </row>
    <row r="182" spans="1:66" s="4" customFormat="1" ht="12.75" x14ac:dyDescent="0.2">
      <c r="A182" s="81" t="s">
        <v>226</v>
      </c>
      <c r="B182" s="36" t="s">
        <v>6</v>
      </c>
      <c r="C182" s="37" t="s">
        <v>227</v>
      </c>
      <c r="D182" s="55">
        <f t="shared" ref="D182:F183" si="62">+D183</f>
        <v>646182</v>
      </c>
      <c r="E182" s="55">
        <f t="shared" si="62"/>
        <v>646182</v>
      </c>
      <c r="F182" s="55">
        <f t="shared" si="62"/>
        <v>646182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36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BM182" s="3"/>
      <c r="BN182" s="3"/>
    </row>
    <row r="183" spans="1:66" s="4" customFormat="1" ht="25.5" x14ac:dyDescent="0.2">
      <c r="A183" s="81" t="s">
        <v>228</v>
      </c>
      <c r="B183" s="36" t="s">
        <v>6</v>
      </c>
      <c r="C183" s="37" t="s">
        <v>229</v>
      </c>
      <c r="D183" s="55">
        <f t="shared" si="62"/>
        <v>646182</v>
      </c>
      <c r="E183" s="55">
        <f t="shared" si="62"/>
        <v>646182</v>
      </c>
      <c r="F183" s="55">
        <f t="shared" si="62"/>
        <v>646182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36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BM183" s="3"/>
      <c r="BN183" s="3"/>
    </row>
    <row r="184" spans="1:66" s="4" customFormat="1" ht="51" x14ac:dyDescent="0.2">
      <c r="A184" s="81" t="s">
        <v>230</v>
      </c>
      <c r="B184" s="36" t="s">
        <v>80</v>
      </c>
      <c r="C184" s="37" t="s">
        <v>231</v>
      </c>
      <c r="D184" s="55">
        <f>501000+145182</f>
        <v>646182</v>
      </c>
      <c r="E184" s="55">
        <f t="shared" ref="E184:F184" si="63">501000+145182</f>
        <v>646182</v>
      </c>
      <c r="F184" s="55">
        <f t="shared" si="63"/>
        <v>646182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36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BM184" s="3"/>
      <c r="BN184" s="3"/>
    </row>
    <row r="185" spans="1:66" s="4" customFormat="1" ht="89.25" x14ac:dyDescent="0.2">
      <c r="A185" s="81" t="s">
        <v>375</v>
      </c>
      <c r="B185" s="36" t="s">
        <v>13</v>
      </c>
      <c r="C185" s="37" t="s">
        <v>374</v>
      </c>
      <c r="D185" s="55">
        <v>2000000</v>
      </c>
      <c r="E185" s="55">
        <v>0</v>
      </c>
      <c r="F185" s="55"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36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BM185" s="3"/>
      <c r="BN185" s="3"/>
    </row>
    <row r="186" spans="1:66" s="4" customFormat="1" x14ac:dyDescent="0.25">
      <c r="A186" s="81" t="s">
        <v>232</v>
      </c>
      <c r="B186" s="16" t="s">
        <v>6</v>
      </c>
      <c r="C186" s="17" t="s">
        <v>233</v>
      </c>
      <c r="D186" s="55">
        <f>+D187+D190</f>
        <v>3735312.5</v>
      </c>
      <c r="E186" s="55">
        <f t="shared" ref="E186:F186" si="64">+E187+E190</f>
        <v>494902</v>
      </c>
      <c r="F186" s="55">
        <f t="shared" si="64"/>
        <v>315169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36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x14ac:dyDescent="0.25">
      <c r="A187" s="81" t="s">
        <v>234</v>
      </c>
      <c r="B187" s="16" t="s">
        <v>6</v>
      </c>
      <c r="C187" s="17" t="s">
        <v>235</v>
      </c>
      <c r="D187" s="55">
        <f t="shared" ref="D187:F188" si="65">+D188</f>
        <v>674636</v>
      </c>
      <c r="E187" s="55">
        <f t="shared" si="65"/>
        <v>494902</v>
      </c>
      <c r="F187" s="55">
        <f t="shared" si="65"/>
        <v>315169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36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x14ac:dyDescent="0.25">
      <c r="A188" s="81" t="s">
        <v>236</v>
      </c>
      <c r="B188" s="16" t="s">
        <v>6</v>
      </c>
      <c r="C188" s="17" t="s">
        <v>237</v>
      </c>
      <c r="D188" s="55">
        <f t="shared" si="65"/>
        <v>674636</v>
      </c>
      <c r="E188" s="55">
        <f t="shared" si="65"/>
        <v>494902</v>
      </c>
      <c r="F188" s="55">
        <f t="shared" si="65"/>
        <v>315169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36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38.25" x14ac:dyDescent="0.25">
      <c r="A189" s="101" t="s">
        <v>238</v>
      </c>
      <c r="B189" s="16" t="s">
        <v>78</v>
      </c>
      <c r="C189" s="17" t="s">
        <v>239</v>
      </c>
      <c r="D189" s="55">
        <v>674636</v>
      </c>
      <c r="E189" s="55">
        <v>494902</v>
      </c>
      <c r="F189" s="55">
        <v>315169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36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x14ac:dyDescent="0.25">
      <c r="A190" s="101" t="s">
        <v>357</v>
      </c>
      <c r="B190" s="16" t="s">
        <v>6</v>
      </c>
      <c r="C190" s="17" t="s">
        <v>358</v>
      </c>
      <c r="D190" s="55">
        <f>+D191</f>
        <v>3060676.5</v>
      </c>
      <c r="E190" s="55">
        <f t="shared" ref="E190:F190" si="66">+E191</f>
        <v>0</v>
      </c>
      <c r="F190" s="55">
        <f t="shared" si="66"/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36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25.5" x14ac:dyDescent="0.25">
      <c r="A191" s="101" t="s">
        <v>359</v>
      </c>
      <c r="B191" s="16" t="s">
        <v>6</v>
      </c>
      <c r="C191" s="17" t="s">
        <v>360</v>
      </c>
      <c r="D191" s="55">
        <f>+D192+D193+D194+D195+D196+D197+D198+D199+D200+D201+D202+D203+D204+D205+D206+D207+D208+D209+D210+D211+D212+D213+D215+D214</f>
        <v>3060676.5</v>
      </c>
      <c r="E191" s="55">
        <f t="shared" ref="E191:F191" si="67">+E192+E193+E194+E195+E196+E197+E198+E199+E200+E201+E202+E203+E204+E205+E206+E207+E208+E209+E210+E211+E212+E213+E215+E214</f>
        <v>0</v>
      </c>
      <c r="F191" s="55">
        <f t="shared" si="67"/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36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25.5" x14ac:dyDescent="0.25">
      <c r="A192" s="80" t="s">
        <v>361</v>
      </c>
      <c r="B192" s="16" t="s">
        <v>212</v>
      </c>
      <c r="C192" s="77" t="s">
        <v>431</v>
      </c>
      <c r="D192" s="55">
        <v>-225000</v>
      </c>
      <c r="E192" s="55">
        <v>0</v>
      </c>
      <c r="F192" s="55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36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51" x14ac:dyDescent="0.25">
      <c r="A193" s="80" t="s">
        <v>362</v>
      </c>
      <c r="B193" s="16" t="s">
        <v>212</v>
      </c>
      <c r="C193" s="77" t="s">
        <v>432</v>
      </c>
      <c r="D193" s="55">
        <v>-220000</v>
      </c>
      <c r="E193" s="55">
        <v>0</v>
      </c>
      <c r="F193" s="55"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36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38.25" x14ac:dyDescent="0.25">
      <c r="A194" s="80" t="s">
        <v>363</v>
      </c>
      <c r="B194" s="16" t="s">
        <v>212</v>
      </c>
      <c r="C194" s="77" t="s">
        <v>433</v>
      </c>
      <c r="D194" s="55">
        <f>-100000-100328.5</f>
        <v>-200328.5</v>
      </c>
      <c r="E194" s="55">
        <v>0</v>
      </c>
      <c r="F194" s="55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36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63.75" x14ac:dyDescent="0.25">
      <c r="A195" s="80" t="s">
        <v>364</v>
      </c>
      <c r="B195" s="16" t="s">
        <v>212</v>
      </c>
      <c r="C195" s="77" t="s">
        <v>434</v>
      </c>
      <c r="D195" s="55">
        <v>-224719</v>
      </c>
      <c r="E195" s="55">
        <v>0</v>
      </c>
      <c r="F195" s="55"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36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76.5" x14ac:dyDescent="0.25">
      <c r="A196" s="80" t="s">
        <v>365</v>
      </c>
      <c r="B196" s="16" t="s">
        <v>212</v>
      </c>
      <c r="C196" s="77" t="s">
        <v>435</v>
      </c>
      <c r="D196" s="55">
        <v>-224719</v>
      </c>
      <c r="E196" s="55">
        <v>0</v>
      </c>
      <c r="F196" s="55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36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76.5" x14ac:dyDescent="0.25">
      <c r="A197" s="80" t="s">
        <v>366</v>
      </c>
      <c r="B197" s="16" t="s">
        <v>212</v>
      </c>
      <c r="C197" s="77" t="s">
        <v>436</v>
      </c>
      <c r="D197" s="55">
        <v>-178140</v>
      </c>
      <c r="E197" s="55">
        <v>0</v>
      </c>
      <c r="F197" s="55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36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38.25" x14ac:dyDescent="0.25">
      <c r="A198" s="80" t="s">
        <v>367</v>
      </c>
      <c r="B198" s="16" t="s">
        <v>212</v>
      </c>
      <c r="C198" s="77" t="s">
        <v>437</v>
      </c>
      <c r="D198" s="55">
        <v>-224719</v>
      </c>
      <c r="E198" s="55">
        <v>0</v>
      </c>
      <c r="F198" s="55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36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51" x14ac:dyDescent="0.25">
      <c r="A199" s="80" t="s">
        <v>368</v>
      </c>
      <c r="B199" s="16" t="s">
        <v>212</v>
      </c>
      <c r="C199" s="77" t="s">
        <v>438</v>
      </c>
      <c r="D199" s="55">
        <v>-224719</v>
      </c>
      <c r="E199" s="55">
        <v>0</v>
      </c>
      <c r="F199" s="55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36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51" x14ac:dyDescent="0.25">
      <c r="A200" s="80" t="s">
        <v>369</v>
      </c>
      <c r="B200" s="16" t="s">
        <v>212</v>
      </c>
      <c r="C200" s="77" t="s">
        <v>439</v>
      </c>
      <c r="D200" s="55">
        <v>-224719</v>
      </c>
      <c r="E200" s="55">
        <v>0</v>
      </c>
      <c r="F200" s="55"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36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38.25" x14ac:dyDescent="0.25">
      <c r="A201" s="148" t="s">
        <v>517</v>
      </c>
      <c r="B201" s="16" t="s">
        <v>212</v>
      </c>
      <c r="C201" s="77" t="s">
        <v>531</v>
      </c>
      <c r="D201" s="150">
        <v>374660</v>
      </c>
      <c r="E201" s="55">
        <v>0</v>
      </c>
      <c r="F201" s="55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36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38.25" x14ac:dyDescent="0.25">
      <c r="A202" s="148" t="s">
        <v>518</v>
      </c>
      <c r="B202" s="16" t="s">
        <v>212</v>
      </c>
      <c r="C202" s="77" t="s">
        <v>532</v>
      </c>
      <c r="D202" s="150">
        <v>360000</v>
      </c>
      <c r="E202" s="55">
        <v>0</v>
      </c>
      <c r="F202" s="55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36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25.5" x14ac:dyDescent="0.25">
      <c r="A203" s="148" t="s">
        <v>519</v>
      </c>
      <c r="B203" s="16" t="s">
        <v>212</v>
      </c>
      <c r="C203" s="77" t="s">
        <v>533</v>
      </c>
      <c r="D203" s="150">
        <v>300000</v>
      </c>
      <c r="E203" s="55">
        <v>0</v>
      </c>
      <c r="F203" s="5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36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51" x14ac:dyDescent="0.25">
      <c r="A204" s="148" t="s">
        <v>520</v>
      </c>
      <c r="B204" s="16" t="s">
        <v>212</v>
      </c>
      <c r="C204" s="77" t="s">
        <v>534</v>
      </c>
      <c r="D204" s="150">
        <v>500000</v>
      </c>
      <c r="E204" s="55">
        <v>0</v>
      </c>
      <c r="F204" s="55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36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51" x14ac:dyDescent="0.25">
      <c r="A205" s="148" t="s">
        <v>521</v>
      </c>
      <c r="B205" s="16" t="s">
        <v>212</v>
      </c>
      <c r="C205" s="77" t="s">
        <v>535</v>
      </c>
      <c r="D205" s="150">
        <v>500000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36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38.25" x14ac:dyDescent="0.25">
      <c r="A206" s="148" t="s">
        <v>522</v>
      </c>
      <c r="B206" s="16" t="s">
        <v>212</v>
      </c>
      <c r="C206" s="77" t="s">
        <v>536</v>
      </c>
      <c r="D206" s="150">
        <v>500000</v>
      </c>
      <c r="E206" s="55">
        <v>0</v>
      </c>
      <c r="F206" s="55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36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38.25" x14ac:dyDescent="0.25">
      <c r="A207" s="148" t="s">
        <v>523</v>
      </c>
      <c r="B207" s="16" t="s">
        <v>212</v>
      </c>
      <c r="C207" s="77" t="s">
        <v>537</v>
      </c>
      <c r="D207" s="150">
        <v>500000</v>
      </c>
      <c r="E207" s="55">
        <v>0</v>
      </c>
      <c r="F207" s="55">
        <v>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36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76.5" x14ac:dyDescent="0.25">
      <c r="A208" s="148" t="s">
        <v>524</v>
      </c>
      <c r="B208" s="16" t="s">
        <v>212</v>
      </c>
      <c r="C208" s="77" t="s">
        <v>538</v>
      </c>
      <c r="D208" s="150">
        <v>105000</v>
      </c>
      <c r="E208" s="55">
        <v>0</v>
      </c>
      <c r="F208" s="55">
        <v>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36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51" x14ac:dyDescent="0.25">
      <c r="A209" s="148" t="s">
        <v>525</v>
      </c>
      <c r="B209" s="16" t="s">
        <v>212</v>
      </c>
      <c r="C209" s="77" t="s">
        <v>539</v>
      </c>
      <c r="D209" s="150">
        <v>300000</v>
      </c>
      <c r="E209" s="55">
        <v>0</v>
      </c>
      <c r="F209" s="55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36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25.5" x14ac:dyDescent="0.25">
      <c r="A210" s="148" t="s">
        <v>361</v>
      </c>
      <c r="B210" s="16" t="s">
        <v>212</v>
      </c>
      <c r="C210" s="77" t="s">
        <v>540</v>
      </c>
      <c r="D210" s="150">
        <v>360000</v>
      </c>
      <c r="E210" s="55">
        <v>0</v>
      </c>
      <c r="F210" s="55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36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38.25" x14ac:dyDescent="0.25">
      <c r="A211" s="148" t="s">
        <v>526</v>
      </c>
      <c r="B211" s="16" t="s">
        <v>212</v>
      </c>
      <c r="C211" s="77" t="s">
        <v>541</v>
      </c>
      <c r="D211" s="150">
        <v>150000</v>
      </c>
      <c r="E211" s="55">
        <v>0</v>
      </c>
      <c r="F211" s="55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36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38.25" x14ac:dyDescent="0.25">
      <c r="A212" s="148" t="s">
        <v>527</v>
      </c>
      <c r="B212" s="16" t="s">
        <v>212</v>
      </c>
      <c r="C212" s="77" t="s">
        <v>542</v>
      </c>
      <c r="D212" s="150">
        <v>200000</v>
      </c>
      <c r="E212" s="55">
        <v>0</v>
      </c>
      <c r="F212" s="55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36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63.75" x14ac:dyDescent="0.25">
      <c r="A213" s="148" t="s">
        <v>528</v>
      </c>
      <c r="B213" s="16" t="s">
        <v>212</v>
      </c>
      <c r="C213" s="77" t="s">
        <v>543</v>
      </c>
      <c r="D213" s="150">
        <v>378080</v>
      </c>
      <c r="E213" s="55">
        <v>0</v>
      </c>
      <c r="F213" s="55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36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38.25" x14ac:dyDescent="0.25">
      <c r="A214" s="148" t="s">
        <v>529</v>
      </c>
      <c r="B214" s="16" t="s">
        <v>212</v>
      </c>
      <c r="C214" s="77" t="s">
        <v>544</v>
      </c>
      <c r="D214" s="150">
        <v>230000</v>
      </c>
      <c r="E214" s="55">
        <v>0</v>
      </c>
      <c r="F214" s="55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36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25.5" x14ac:dyDescent="0.25">
      <c r="A215" s="148" t="s">
        <v>530</v>
      </c>
      <c r="B215" s="16" t="s">
        <v>212</v>
      </c>
      <c r="C215" s="77" t="s">
        <v>545</v>
      </c>
      <c r="D215" s="150">
        <v>250000</v>
      </c>
      <c r="E215" s="55">
        <v>0</v>
      </c>
      <c r="F215" s="55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36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x14ac:dyDescent="0.25">
      <c r="A216" s="101" t="s">
        <v>240</v>
      </c>
      <c r="B216" s="16" t="s">
        <v>6</v>
      </c>
      <c r="C216" s="17" t="s">
        <v>241</v>
      </c>
      <c r="D216" s="55">
        <f>+D217+D294+D301</f>
        <v>3255747351.1299996</v>
      </c>
      <c r="E216" s="55">
        <f t="shared" ref="E216:F216" si="68">+E217</f>
        <v>2573427380</v>
      </c>
      <c r="F216" s="55">
        <f t="shared" si="68"/>
        <v>2289053400</v>
      </c>
      <c r="G216" s="3"/>
      <c r="H216" s="25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36"/>
      <c r="W216" s="3"/>
      <c r="X216" s="3"/>
      <c r="Y216" s="3"/>
      <c r="Z216" s="3"/>
      <c r="AB216" s="12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25.5" x14ac:dyDescent="0.25">
      <c r="A217" s="87" t="s">
        <v>242</v>
      </c>
      <c r="B217" s="16" t="s">
        <v>6</v>
      </c>
      <c r="C217" s="17" t="s">
        <v>243</v>
      </c>
      <c r="D217" s="55">
        <f>+D265+D218+D223+D285</f>
        <v>3255758233.5999999</v>
      </c>
      <c r="E217" s="55">
        <f t="shared" ref="E217:F217" si="69">+E265+E218+E223+E285</f>
        <v>2573427380</v>
      </c>
      <c r="F217" s="55">
        <f t="shared" si="69"/>
        <v>2289053400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36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25.5" x14ac:dyDescent="0.25">
      <c r="A218" s="87" t="s">
        <v>244</v>
      </c>
      <c r="B218" s="16" t="s">
        <v>6</v>
      </c>
      <c r="C218" s="17" t="s">
        <v>245</v>
      </c>
      <c r="D218" s="55">
        <f>+D219+D221</f>
        <v>234706900</v>
      </c>
      <c r="E218" s="55">
        <f t="shared" ref="E218:F218" si="70">+E219+E221</f>
        <v>46225700</v>
      </c>
      <c r="F218" s="55">
        <f t="shared" si="70"/>
        <v>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36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x14ac:dyDescent="0.25">
      <c r="A219" s="88" t="s">
        <v>246</v>
      </c>
      <c r="B219" s="16" t="s">
        <v>6</v>
      </c>
      <c r="C219" s="28" t="s">
        <v>247</v>
      </c>
      <c r="D219" s="55">
        <f>+D220</f>
        <v>44904800</v>
      </c>
      <c r="E219" s="55">
        <f t="shared" ref="E219:F219" si="71">+E220</f>
        <v>46225700</v>
      </c>
      <c r="F219" s="55">
        <f t="shared" si="71"/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36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38.25" x14ac:dyDescent="0.25">
      <c r="A220" s="88" t="s">
        <v>248</v>
      </c>
      <c r="B220" s="16" t="s">
        <v>249</v>
      </c>
      <c r="C220" s="17" t="s">
        <v>250</v>
      </c>
      <c r="D220" s="55">
        <v>44904800</v>
      </c>
      <c r="E220" s="55">
        <v>46225700</v>
      </c>
      <c r="F220" s="55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36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25.5" x14ac:dyDescent="0.25">
      <c r="A221" s="81" t="s">
        <v>397</v>
      </c>
      <c r="B221" s="16" t="s">
        <v>6</v>
      </c>
      <c r="C221" s="66" t="s">
        <v>399</v>
      </c>
      <c r="D221" s="55">
        <f>+D222</f>
        <v>189802100</v>
      </c>
      <c r="E221" s="55">
        <f t="shared" ref="E221:F221" si="72">+E222</f>
        <v>0</v>
      </c>
      <c r="F221" s="55">
        <f t="shared" si="72"/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36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25.5" x14ac:dyDescent="0.25">
      <c r="A222" s="88" t="s">
        <v>397</v>
      </c>
      <c r="B222" s="16" t="s">
        <v>249</v>
      </c>
      <c r="C222" s="17" t="s">
        <v>398</v>
      </c>
      <c r="D222" s="104">
        <f>104530400+85271700</f>
        <v>189802100</v>
      </c>
      <c r="E222" s="55">
        <v>0</v>
      </c>
      <c r="F222" s="55"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36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25.5" x14ac:dyDescent="0.25">
      <c r="A223" s="101" t="s">
        <v>251</v>
      </c>
      <c r="B223" s="16" t="s">
        <v>6</v>
      </c>
      <c r="C223" s="16" t="s">
        <v>252</v>
      </c>
      <c r="D223" s="55">
        <f>+D232+D244+D230+D236+D242+D238+D240+D234+D224+D226+D228</f>
        <v>856017033.5999999</v>
      </c>
      <c r="E223" s="55">
        <f t="shared" ref="E223:F223" si="73">+E232+E244+E230+E236+E242+E238+E240+E234+E224+E226+E228</f>
        <v>621686480</v>
      </c>
      <c r="F223" s="55">
        <f t="shared" si="73"/>
        <v>383538400</v>
      </c>
      <c r="G223" s="3"/>
      <c r="H223" s="25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36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89.25" x14ac:dyDescent="0.25">
      <c r="A224" s="101" t="s">
        <v>442</v>
      </c>
      <c r="B224" s="16" t="s">
        <v>6</v>
      </c>
      <c r="C224" s="16" t="s">
        <v>443</v>
      </c>
      <c r="D224" s="55">
        <f>+D225</f>
        <v>25400500</v>
      </c>
      <c r="E224" s="55">
        <f t="shared" ref="E224:F224" si="74">+E225</f>
        <v>0</v>
      </c>
      <c r="F224" s="55">
        <f t="shared" si="74"/>
        <v>0</v>
      </c>
      <c r="G224" s="3"/>
      <c r="H224" s="25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36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89.25" x14ac:dyDescent="0.25">
      <c r="A225" s="101" t="s">
        <v>440</v>
      </c>
      <c r="B225" s="16" t="s">
        <v>80</v>
      </c>
      <c r="C225" s="16" t="s">
        <v>441</v>
      </c>
      <c r="D225" s="55">
        <v>25400500</v>
      </c>
      <c r="E225" s="55">
        <v>0</v>
      </c>
      <c r="F225" s="55">
        <v>0</v>
      </c>
      <c r="G225" s="3"/>
      <c r="H225" s="25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36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25.5" x14ac:dyDescent="0.25">
      <c r="A226" s="101" t="s">
        <v>448</v>
      </c>
      <c r="B226" s="16" t="s">
        <v>6</v>
      </c>
      <c r="C226" s="16" t="s">
        <v>449</v>
      </c>
      <c r="D226" s="55">
        <f>+D227</f>
        <v>184748</v>
      </c>
      <c r="E226" s="55">
        <f t="shared" ref="E226:F226" si="75">+E227</f>
        <v>0</v>
      </c>
      <c r="F226" s="55">
        <f t="shared" si="75"/>
        <v>0</v>
      </c>
      <c r="G226" s="3"/>
      <c r="H226" s="25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36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38.25" x14ac:dyDescent="0.25">
      <c r="A227" s="101" t="s">
        <v>446</v>
      </c>
      <c r="B227" s="16" t="s">
        <v>271</v>
      </c>
      <c r="C227" s="16" t="s">
        <v>447</v>
      </c>
      <c r="D227" s="55">
        <v>184748</v>
      </c>
      <c r="E227" s="55">
        <v>0</v>
      </c>
      <c r="F227" s="55">
        <v>0</v>
      </c>
      <c r="G227" s="3"/>
      <c r="H227" s="25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36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38.25" x14ac:dyDescent="0.25">
      <c r="A228" s="101" t="s">
        <v>450</v>
      </c>
      <c r="B228" s="16" t="s">
        <v>6</v>
      </c>
      <c r="C228" s="16" t="s">
        <v>451</v>
      </c>
      <c r="D228" s="55">
        <f>+D229</f>
        <v>14840000</v>
      </c>
      <c r="E228" s="55">
        <f t="shared" ref="E228:F228" si="76">+E229</f>
        <v>0</v>
      </c>
      <c r="F228" s="55">
        <f t="shared" si="76"/>
        <v>0</v>
      </c>
      <c r="G228" s="3"/>
      <c r="H228" s="25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36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38.25" x14ac:dyDescent="0.25">
      <c r="A229" s="101" t="s">
        <v>444</v>
      </c>
      <c r="B229" s="16" t="s">
        <v>271</v>
      </c>
      <c r="C229" s="16" t="s">
        <v>445</v>
      </c>
      <c r="D229" s="55">
        <v>14840000</v>
      </c>
      <c r="E229" s="55">
        <v>0</v>
      </c>
      <c r="F229" s="55">
        <v>0</v>
      </c>
      <c r="G229" s="3"/>
      <c r="H229" s="25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36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51" x14ac:dyDescent="0.25">
      <c r="A230" s="89" t="s">
        <v>253</v>
      </c>
      <c r="B230" s="67" t="s">
        <v>6</v>
      </c>
      <c r="C230" s="67" t="s">
        <v>254</v>
      </c>
      <c r="D230" s="55">
        <f t="shared" ref="D230:F230" si="77">+D231</f>
        <v>56916500</v>
      </c>
      <c r="E230" s="55">
        <f t="shared" si="77"/>
        <v>58013200</v>
      </c>
      <c r="F230" s="55">
        <f t="shared" si="77"/>
        <v>56526400</v>
      </c>
      <c r="G230" s="3"/>
      <c r="H230" s="25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36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51" x14ac:dyDescent="0.25">
      <c r="A231" s="89" t="s">
        <v>255</v>
      </c>
      <c r="B231" s="67" t="s">
        <v>256</v>
      </c>
      <c r="C231" s="67" t="s">
        <v>257</v>
      </c>
      <c r="D231" s="55">
        <f>57764900-848400</f>
        <v>56916500</v>
      </c>
      <c r="E231" s="55">
        <f>57915600+97600</f>
        <v>58013200</v>
      </c>
      <c r="F231" s="55">
        <f>56431200+95200</f>
        <v>56526400</v>
      </c>
      <c r="G231" s="3"/>
      <c r="H231" s="25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36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51" x14ac:dyDescent="0.25">
      <c r="A232" s="90" t="s">
        <v>258</v>
      </c>
      <c r="B232" s="36" t="s">
        <v>6</v>
      </c>
      <c r="C232" s="36" t="s">
        <v>259</v>
      </c>
      <c r="D232" s="55">
        <f>D233</f>
        <v>2783996.86</v>
      </c>
      <c r="E232" s="55">
        <f>E233</f>
        <v>2821900</v>
      </c>
      <c r="F232" s="55">
        <f>F233</f>
        <v>4759000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36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1" x14ac:dyDescent="0.25">
      <c r="A233" s="90" t="s">
        <v>260</v>
      </c>
      <c r="B233" s="16" t="s">
        <v>261</v>
      </c>
      <c r="C233" s="16" t="s">
        <v>262</v>
      </c>
      <c r="D233" s="55">
        <f>2784000-3.14</f>
        <v>2783996.86</v>
      </c>
      <c r="E233" s="55">
        <v>2821900</v>
      </c>
      <c r="F233" s="55">
        <v>4759000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136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25.5" x14ac:dyDescent="0.25">
      <c r="A234" s="90" t="s">
        <v>414</v>
      </c>
      <c r="B234" s="16" t="s">
        <v>6</v>
      </c>
      <c r="C234" s="16" t="s">
        <v>415</v>
      </c>
      <c r="D234" s="55">
        <f>+D235</f>
        <v>17274741.66</v>
      </c>
      <c r="E234" s="55">
        <f t="shared" ref="E234:F234" si="78">+E235</f>
        <v>0</v>
      </c>
      <c r="F234" s="55">
        <f t="shared" si="78"/>
        <v>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136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25.5" x14ac:dyDescent="0.25">
      <c r="A235" s="90" t="s">
        <v>412</v>
      </c>
      <c r="B235" s="16" t="s">
        <v>271</v>
      </c>
      <c r="C235" s="16" t="s">
        <v>413</v>
      </c>
      <c r="D235" s="55">
        <v>17274741.66</v>
      </c>
      <c r="E235" s="55">
        <v>0</v>
      </c>
      <c r="F235" s="55"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136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x14ac:dyDescent="0.25">
      <c r="A236" s="90" t="s">
        <v>325</v>
      </c>
      <c r="B236" s="16" t="s">
        <v>6</v>
      </c>
      <c r="C236" s="16" t="s">
        <v>326</v>
      </c>
      <c r="D236" s="55">
        <f t="shared" ref="D236:F236" si="79">+D237</f>
        <v>444780</v>
      </c>
      <c r="E236" s="55">
        <f t="shared" si="79"/>
        <v>444780</v>
      </c>
      <c r="F236" s="55">
        <f t="shared" si="79"/>
        <v>445300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136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25.5" x14ac:dyDescent="0.25">
      <c r="A237" s="90" t="s">
        <v>328</v>
      </c>
      <c r="B237" s="16" t="s">
        <v>261</v>
      </c>
      <c r="C237" s="16" t="s">
        <v>327</v>
      </c>
      <c r="D237" s="55">
        <f>444800-20</f>
        <v>444780</v>
      </c>
      <c r="E237" s="55">
        <f>444800-20</f>
        <v>444780</v>
      </c>
      <c r="F237" s="55">
        <v>445300</v>
      </c>
      <c r="G237" s="2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136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25.5" x14ac:dyDescent="0.25">
      <c r="A238" s="90" t="s">
        <v>404</v>
      </c>
      <c r="B238" s="16" t="s">
        <v>6</v>
      </c>
      <c r="C238" s="16" t="s">
        <v>405</v>
      </c>
      <c r="D238" s="55">
        <f>+D239</f>
        <v>39167200</v>
      </c>
      <c r="E238" s="55">
        <f t="shared" ref="E238:F238" si="80">+E239</f>
        <v>0</v>
      </c>
      <c r="F238" s="55">
        <f t="shared" si="80"/>
        <v>0</v>
      </c>
      <c r="G238" s="2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136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25.5" x14ac:dyDescent="0.25">
      <c r="A239" s="90" t="s">
        <v>402</v>
      </c>
      <c r="B239" s="16" t="s">
        <v>80</v>
      </c>
      <c r="C239" s="16" t="s">
        <v>403</v>
      </c>
      <c r="D239" s="55">
        <v>39167200</v>
      </c>
      <c r="E239" s="55">
        <v>0</v>
      </c>
      <c r="F239" s="55">
        <v>0</v>
      </c>
      <c r="G239" s="2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136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25.5" x14ac:dyDescent="0.25">
      <c r="A240" s="90" t="s">
        <v>409</v>
      </c>
      <c r="B240" s="16" t="s">
        <v>6</v>
      </c>
      <c r="C240" s="16" t="s">
        <v>410</v>
      </c>
      <c r="D240" s="55">
        <f>+D241</f>
        <v>4832296.28</v>
      </c>
      <c r="E240" s="55">
        <f t="shared" ref="E240:F240" si="81">+E241</f>
        <v>0</v>
      </c>
      <c r="F240" s="55">
        <f t="shared" si="81"/>
        <v>0</v>
      </c>
      <c r="G240" s="2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136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7" s="4" customFormat="1" ht="27.6" customHeight="1" x14ac:dyDescent="0.25">
      <c r="A241" s="90" t="s">
        <v>407</v>
      </c>
      <c r="B241" s="16" t="s">
        <v>261</v>
      </c>
      <c r="C241" s="16" t="s">
        <v>408</v>
      </c>
      <c r="D241" s="55">
        <v>4832296.28</v>
      </c>
      <c r="E241" s="55">
        <v>0</v>
      </c>
      <c r="F241" s="55">
        <v>0</v>
      </c>
      <c r="G241" s="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136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7" s="4" customFormat="1" ht="28.9" customHeight="1" x14ac:dyDescent="0.25">
      <c r="A242" s="90" t="s">
        <v>354</v>
      </c>
      <c r="B242" s="16" t="s">
        <v>6</v>
      </c>
      <c r="C242" s="16" t="s">
        <v>355</v>
      </c>
      <c r="D242" s="55">
        <f>+D243</f>
        <v>117542700</v>
      </c>
      <c r="E242" s="55">
        <f t="shared" ref="E242:F242" si="82">+E243</f>
        <v>0</v>
      </c>
      <c r="F242" s="55">
        <f t="shared" si="82"/>
        <v>0</v>
      </c>
      <c r="G242" s="2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136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7" s="4" customFormat="1" ht="30.6" customHeight="1" x14ac:dyDescent="0.25">
      <c r="A243" s="90" t="s">
        <v>352</v>
      </c>
      <c r="B243" s="16" t="s">
        <v>256</v>
      </c>
      <c r="C243" s="16" t="s">
        <v>353</v>
      </c>
      <c r="D243" s="55">
        <v>117542700</v>
      </c>
      <c r="E243" s="55">
        <v>0</v>
      </c>
      <c r="F243" s="55">
        <v>0</v>
      </c>
      <c r="G243" s="2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136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7" s="4" customFormat="1" ht="15.6" customHeight="1" x14ac:dyDescent="0.25">
      <c r="A244" s="101" t="s">
        <v>263</v>
      </c>
      <c r="B244" s="16" t="s">
        <v>6</v>
      </c>
      <c r="C244" s="32" t="s">
        <v>264</v>
      </c>
      <c r="D244" s="55">
        <f>+D245</f>
        <v>576629570.79999995</v>
      </c>
      <c r="E244" s="55">
        <f>+E245</f>
        <v>560406600</v>
      </c>
      <c r="F244" s="55">
        <f>+F245</f>
        <v>321807700</v>
      </c>
      <c r="G244" s="3"/>
      <c r="H244" s="25"/>
      <c r="I244" s="25"/>
      <c r="J244" s="25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136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7" s="4" customFormat="1" ht="18" customHeight="1" x14ac:dyDescent="0.25">
      <c r="A245" s="101" t="s">
        <v>265</v>
      </c>
      <c r="B245" s="16" t="s">
        <v>6</v>
      </c>
      <c r="C245" s="32" t="s">
        <v>266</v>
      </c>
      <c r="D245" s="55">
        <f>+D246+D247+D248+D249+D250+D251+D252+D253+D254+D256+D257+D259+D260+D261+D262+D255+D258+D264+D263</f>
        <v>576629570.79999995</v>
      </c>
      <c r="E245" s="55">
        <f t="shared" ref="E245:F245" si="83">+E246+E247+E248+E249+E250+E251+E252+E253+E254+E256+E257+E259+E260+E261+E262+E255+E258+E264+E263</f>
        <v>560406600</v>
      </c>
      <c r="F245" s="55">
        <f t="shared" si="83"/>
        <v>321807700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136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7" s="4" customFormat="1" ht="56.45" customHeight="1" x14ac:dyDescent="0.25">
      <c r="A246" s="81" t="s">
        <v>333</v>
      </c>
      <c r="B246" s="16" t="s">
        <v>261</v>
      </c>
      <c r="C246" s="32" t="s">
        <v>266</v>
      </c>
      <c r="D246" s="118">
        <f>90044700-25000000+40000000-15000000</f>
        <v>90044700</v>
      </c>
      <c r="E246" s="118">
        <f>90044700+77163900+20000000</f>
        <v>187208600</v>
      </c>
      <c r="F246" s="55"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136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  <c r="BO246" s="62"/>
    </row>
    <row r="247" spans="1:67" s="4" customFormat="1" ht="44.45" customHeight="1" x14ac:dyDescent="0.25">
      <c r="A247" s="81" t="s">
        <v>406</v>
      </c>
      <c r="B247" s="16" t="s">
        <v>261</v>
      </c>
      <c r="C247" s="32" t="s">
        <v>266</v>
      </c>
      <c r="D247" s="55">
        <v>658040</v>
      </c>
      <c r="E247" s="55">
        <v>0</v>
      </c>
      <c r="F247" s="55">
        <v>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136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  <c r="BO247" s="62"/>
    </row>
    <row r="248" spans="1:67" s="4" customFormat="1" ht="69.599999999999994" customHeight="1" x14ac:dyDescent="0.25">
      <c r="A248" s="85" t="s">
        <v>349</v>
      </c>
      <c r="B248" s="16" t="s">
        <v>256</v>
      </c>
      <c r="C248" s="32" t="s">
        <v>266</v>
      </c>
      <c r="D248" s="145">
        <f>6953500-6953500</f>
        <v>0</v>
      </c>
      <c r="E248" s="58">
        <v>24928400</v>
      </c>
      <c r="F248" s="58">
        <v>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136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7" s="4" customFormat="1" ht="69.599999999999994" customHeight="1" x14ac:dyDescent="0.25">
      <c r="A249" s="85" t="s">
        <v>267</v>
      </c>
      <c r="B249" s="16" t="s">
        <v>256</v>
      </c>
      <c r="C249" s="32" t="s">
        <v>266</v>
      </c>
      <c r="D249" s="55">
        <f>2603200+347100</f>
        <v>2950300</v>
      </c>
      <c r="E249" s="55">
        <v>2603200</v>
      </c>
      <c r="F249" s="55">
        <v>2632500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136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7" s="4" customFormat="1" ht="69" customHeight="1" x14ac:dyDescent="0.25">
      <c r="A250" s="81" t="s">
        <v>268</v>
      </c>
      <c r="B250" s="16" t="s">
        <v>256</v>
      </c>
      <c r="C250" s="32" t="s">
        <v>266</v>
      </c>
      <c r="D250" s="55">
        <f>10850300+1725900</f>
        <v>12576200</v>
      </c>
      <c r="E250" s="55">
        <f>10578500+1704100</f>
        <v>12282600</v>
      </c>
      <c r="F250" s="55">
        <f>10377400+1697000</f>
        <v>12074400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136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7" s="4" customFormat="1" ht="55.9" customHeight="1" x14ac:dyDescent="0.25">
      <c r="A251" s="81" t="s">
        <v>269</v>
      </c>
      <c r="B251" s="16" t="s">
        <v>256</v>
      </c>
      <c r="C251" s="32" t="s">
        <v>266</v>
      </c>
      <c r="D251" s="55">
        <f>5036300-73400</f>
        <v>4962900</v>
      </c>
      <c r="E251" s="55">
        <f>7601900-110700</f>
        <v>7491200</v>
      </c>
      <c r="F251" s="55">
        <f>7677500-110200</f>
        <v>7567300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136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7" s="4" customFormat="1" ht="44.45" customHeight="1" x14ac:dyDescent="0.25">
      <c r="A252" s="82" t="s">
        <v>351</v>
      </c>
      <c r="B252" s="16" t="s">
        <v>256</v>
      </c>
      <c r="C252" s="32" t="s">
        <v>266</v>
      </c>
      <c r="D252" s="55">
        <v>15000000</v>
      </c>
      <c r="E252" s="55">
        <v>23768600</v>
      </c>
      <c r="F252" s="55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136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7" s="4" customFormat="1" ht="81.599999999999994" customHeight="1" x14ac:dyDescent="0.25">
      <c r="A253" s="82" t="s">
        <v>401</v>
      </c>
      <c r="B253" s="16" t="s">
        <v>256</v>
      </c>
      <c r="C253" s="32" t="s">
        <v>266</v>
      </c>
      <c r="D253" s="55">
        <v>1145689</v>
      </c>
      <c r="E253" s="55">
        <v>0</v>
      </c>
      <c r="F253" s="55"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136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7" s="4" customFormat="1" ht="95.45" customHeight="1" x14ac:dyDescent="0.25">
      <c r="A254" s="82" t="s">
        <v>416</v>
      </c>
      <c r="B254" s="16" t="s">
        <v>256</v>
      </c>
      <c r="C254" s="32" t="s">
        <v>266</v>
      </c>
      <c r="D254" s="55">
        <v>4158300</v>
      </c>
      <c r="E254" s="55">
        <v>4158300</v>
      </c>
      <c r="F254" s="55">
        <v>4205100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136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7" s="4" customFormat="1" ht="67.150000000000006" customHeight="1" x14ac:dyDescent="0.25">
      <c r="A255" s="81" t="s">
        <v>452</v>
      </c>
      <c r="B255" s="16" t="s">
        <v>256</v>
      </c>
      <c r="C255" s="32" t="s">
        <v>266</v>
      </c>
      <c r="D255" s="55">
        <v>6025300</v>
      </c>
      <c r="E255" s="55">
        <v>0</v>
      </c>
      <c r="F255" s="55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136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7" s="4" customFormat="1" ht="137.44999999999999" customHeight="1" x14ac:dyDescent="0.25">
      <c r="A256" s="91" t="s">
        <v>332</v>
      </c>
      <c r="B256" s="16" t="s">
        <v>249</v>
      </c>
      <c r="C256" s="32" t="s">
        <v>266</v>
      </c>
      <c r="D256" s="55">
        <v>182080400</v>
      </c>
      <c r="E256" s="55">
        <v>182890800</v>
      </c>
      <c r="F256" s="55">
        <v>182907500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136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51" x14ac:dyDescent="0.25">
      <c r="A257" s="92" t="s">
        <v>270</v>
      </c>
      <c r="B257" s="16" t="s">
        <v>271</v>
      </c>
      <c r="C257" s="32" t="s">
        <v>266</v>
      </c>
      <c r="D257" s="118">
        <f>57656800+43918300</f>
        <v>101575100</v>
      </c>
      <c r="E257" s="55">
        <v>0</v>
      </c>
      <c r="F257" s="55"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136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63.75" x14ac:dyDescent="0.25">
      <c r="A258" s="81" t="s">
        <v>453</v>
      </c>
      <c r="B258" s="16" t="s">
        <v>271</v>
      </c>
      <c r="C258" s="32" t="s">
        <v>266</v>
      </c>
      <c r="D258" s="55">
        <v>337928</v>
      </c>
      <c r="E258" s="55">
        <v>0</v>
      </c>
      <c r="F258" s="55"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136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38.25" x14ac:dyDescent="0.25">
      <c r="A259" s="93" t="s">
        <v>400</v>
      </c>
      <c r="B259" s="16" t="s">
        <v>212</v>
      </c>
      <c r="C259" s="32" t="s">
        <v>266</v>
      </c>
      <c r="D259" s="55">
        <v>11611313.800000001</v>
      </c>
      <c r="E259" s="55">
        <v>0</v>
      </c>
      <c r="F259" s="55"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136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38.25" x14ac:dyDescent="0.25">
      <c r="A260" s="85" t="s">
        <v>272</v>
      </c>
      <c r="B260" s="16" t="s">
        <v>212</v>
      </c>
      <c r="C260" s="32" t="s">
        <v>266</v>
      </c>
      <c r="D260" s="55">
        <f>10000000+5000000</f>
        <v>15000000</v>
      </c>
      <c r="E260" s="55">
        <v>12420900</v>
      </c>
      <c r="F260" s="55">
        <v>12420900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136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51" x14ac:dyDescent="0.25">
      <c r="A261" s="85" t="s">
        <v>350</v>
      </c>
      <c r="B261" s="16" t="s">
        <v>80</v>
      </c>
      <c r="C261" s="32" t="s">
        <v>266</v>
      </c>
      <c r="D261" s="55">
        <v>0</v>
      </c>
      <c r="E261" s="55">
        <v>2654000</v>
      </c>
      <c r="F261" s="55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136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51" x14ac:dyDescent="0.25">
      <c r="A262" s="85" t="s">
        <v>411</v>
      </c>
      <c r="B262" s="16" t="s">
        <v>80</v>
      </c>
      <c r="C262" s="32" t="s">
        <v>266</v>
      </c>
      <c r="D262" s="118">
        <f>84997600-347000</f>
        <v>84650600</v>
      </c>
      <c r="E262" s="55">
        <v>100000000</v>
      </c>
      <c r="F262" s="55">
        <v>100000000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136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38.25" x14ac:dyDescent="0.25">
      <c r="A263" s="81" t="s">
        <v>455</v>
      </c>
      <c r="B263" s="16" t="s">
        <v>80</v>
      </c>
      <c r="C263" s="32" t="s">
        <v>266</v>
      </c>
      <c r="D263" s="55">
        <v>40340600</v>
      </c>
      <c r="E263" s="55">
        <v>0</v>
      </c>
      <c r="F263" s="55"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136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127.5" x14ac:dyDescent="0.25">
      <c r="A264" s="81" t="s">
        <v>454</v>
      </c>
      <c r="B264" s="16" t="s">
        <v>80</v>
      </c>
      <c r="C264" s="32" t="s">
        <v>266</v>
      </c>
      <c r="D264" s="55">
        <v>3512200</v>
      </c>
      <c r="E264" s="55">
        <v>0</v>
      </c>
      <c r="F264" s="55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136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25.5" x14ac:dyDescent="0.25">
      <c r="A265" s="101" t="s">
        <v>273</v>
      </c>
      <c r="B265" s="16" t="s">
        <v>6</v>
      </c>
      <c r="C265" s="17" t="s">
        <v>274</v>
      </c>
      <c r="D265" s="55">
        <f>+D266+D281+D279</f>
        <v>2088327200</v>
      </c>
      <c r="E265" s="55">
        <f t="shared" ref="E265:F265" si="84">+E266+E281+E279</f>
        <v>1844243300</v>
      </c>
      <c r="F265" s="55">
        <f t="shared" si="84"/>
        <v>1844243100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136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25.5" x14ac:dyDescent="0.25">
      <c r="A266" s="101" t="s">
        <v>275</v>
      </c>
      <c r="B266" s="16" t="s">
        <v>6</v>
      </c>
      <c r="C266" s="16" t="s">
        <v>276</v>
      </c>
      <c r="D266" s="55">
        <f>+D267</f>
        <v>32277400</v>
      </c>
      <c r="E266" s="55">
        <f>+E267</f>
        <v>28215800</v>
      </c>
      <c r="F266" s="55">
        <f>+F267</f>
        <v>28215800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136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1" customFormat="1" ht="25.5" x14ac:dyDescent="0.25">
      <c r="A267" s="101" t="s">
        <v>277</v>
      </c>
      <c r="B267" s="16" t="s">
        <v>6</v>
      </c>
      <c r="C267" s="16" t="s">
        <v>278</v>
      </c>
      <c r="D267" s="55">
        <f>SUM(D268:D278)</f>
        <v>32277400</v>
      </c>
      <c r="E267" s="55">
        <f>SUM(E268:E278)</f>
        <v>28215800</v>
      </c>
      <c r="F267" s="55">
        <f>SUM(F268:F278)</f>
        <v>28215800</v>
      </c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137"/>
      <c r="W267" s="40"/>
      <c r="X267" s="40"/>
      <c r="Y267" s="40"/>
      <c r="Z267" s="40"/>
      <c r="AC267" s="42"/>
      <c r="AD267" s="42"/>
      <c r="AE267" s="42"/>
      <c r="AF267" s="42"/>
      <c r="AG267" s="42"/>
      <c r="AH267" s="42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BM267" s="40"/>
      <c r="BN267" s="40"/>
    </row>
    <row r="268" spans="1:66" s="4" customFormat="1" ht="38.25" x14ac:dyDescent="0.25">
      <c r="A268" s="128" t="s">
        <v>493</v>
      </c>
      <c r="B268" s="16" t="s">
        <v>256</v>
      </c>
      <c r="C268" s="16" t="s">
        <v>278</v>
      </c>
      <c r="D268" s="58">
        <f>13594600-784700</f>
        <v>12809900</v>
      </c>
      <c r="E268" s="58">
        <f>13594600-784700</f>
        <v>12809900</v>
      </c>
      <c r="F268" s="58">
        <f>13594600-784700</f>
        <v>12809900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136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4" customFormat="1" ht="76.5" x14ac:dyDescent="0.25">
      <c r="A269" s="81" t="s">
        <v>324</v>
      </c>
      <c r="B269" s="16" t="s">
        <v>256</v>
      </c>
      <c r="C269" s="16" t="s">
        <v>278</v>
      </c>
      <c r="D269" s="58">
        <v>80000</v>
      </c>
      <c r="E269" s="58">
        <v>80000</v>
      </c>
      <c r="F269" s="58">
        <v>80000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136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AY269" s="193"/>
      <c r="AZ269" s="193"/>
      <c r="BA269" s="193"/>
      <c r="BB269" s="193"/>
      <c r="BC269" s="193"/>
      <c r="BD269" s="193"/>
      <c r="BM269" s="3"/>
      <c r="BN269" s="3"/>
    </row>
    <row r="270" spans="1:66" s="4" customFormat="1" ht="38.25" x14ac:dyDescent="0.25">
      <c r="A270" s="94" t="s">
        <v>279</v>
      </c>
      <c r="B270" s="16" t="s">
        <v>256</v>
      </c>
      <c r="C270" s="16" t="s">
        <v>278</v>
      </c>
      <c r="D270" s="58">
        <f>3612000-853300</f>
        <v>2758700</v>
      </c>
      <c r="E270" s="58">
        <f>3612000-853300</f>
        <v>2758700</v>
      </c>
      <c r="F270" s="58">
        <f>3612000-853300</f>
        <v>2758700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136"/>
      <c r="W270" s="3"/>
      <c r="X270" s="3"/>
      <c r="Y270" s="3"/>
      <c r="Z270" s="3"/>
      <c r="AC270" s="5"/>
      <c r="AD270" s="5"/>
      <c r="AE270" s="5"/>
      <c r="AF270" s="5"/>
      <c r="AG270" s="5"/>
      <c r="AH270" s="5"/>
      <c r="AI270" s="3"/>
      <c r="AJ270" s="3"/>
      <c r="AK270" s="3"/>
      <c r="AL270" s="3"/>
      <c r="AM270" s="3"/>
      <c r="AN270" s="3"/>
      <c r="AO270" s="3"/>
      <c r="AP270" s="3"/>
      <c r="AQ270" s="3"/>
      <c r="AR270" s="6"/>
      <c r="AS270" s="6"/>
      <c r="AT270" s="3"/>
      <c r="AU270" s="3"/>
      <c r="AV270" s="3"/>
      <c r="AW270" s="3"/>
      <c r="AZ270" s="194"/>
      <c r="BA270" s="194"/>
      <c r="BB270" s="194"/>
      <c r="BC270" s="194"/>
      <c r="BD270" s="194"/>
      <c r="BE270" s="194"/>
      <c r="BM270" s="3"/>
      <c r="BN270" s="3"/>
    </row>
    <row r="271" spans="1:66" s="41" customFormat="1" ht="38.25" x14ac:dyDescent="0.25">
      <c r="A271" s="82" t="s">
        <v>280</v>
      </c>
      <c r="B271" s="16" t="s">
        <v>212</v>
      </c>
      <c r="C271" s="16" t="s">
        <v>278</v>
      </c>
      <c r="D271" s="118">
        <f>62200+3300+19900</f>
        <v>85400</v>
      </c>
      <c r="E271" s="55">
        <v>65500</v>
      </c>
      <c r="F271" s="55">
        <v>65500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137"/>
      <c r="W271" s="40"/>
      <c r="X271" s="40"/>
      <c r="Y271" s="40"/>
      <c r="Z271" s="40"/>
      <c r="AC271" s="42"/>
      <c r="AD271" s="42"/>
      <c r="AE271" s="42"/>
      <c r="AF271" s="42"/>
      <c r="AG271" s="42"/>
      <c r="AH271" s="42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BM271" s="40"/>
      <c r="BN271" s="40"/>
    </row>
    <row r="272" spans="1:66" s="41" customFormat="1" ht="25.5" x14ac:dyDescent="0.25">
      <c r="A272" s="101" t="s">
        <v>281</v>
      </c>
      <c r="B272" s="16" t="s">
        <v>212</v>
      </c>
      <c r="C272" s="16" t="s">
        <v>278</v>
      </c>
      <c r="D272" s="145">
        <f>182600+59400</f>
        <v>242000</v>
      </c>
      <c r="E272" s="58">
        <v>182600</v>
      </c>
      <c r="F272" s="58">
        <v>182600</v>
      </c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137"/>
      <c r="W272" s="40"/>
      <c r="X272" s="40"/>
      <c r="Y272" s="40"/>
      <c r="Z272" s="40"/>
      <c r="AC272" s="42"/>
      <c r="AD272" s="42"/>
      <c r="AE272" s="42"/>
      <c r="AF272" s="42"/>
      <c r="AG272" s="42"/>
      <c r="AH272" s="42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BM272" s="40"/>
      <c r="BN272" s="40"/>
    </row>
    <row r="273" spans="1:66" s="41" customFormat="1" ht="51" x14ac:dyDescent="0.25">
      <c r="A273" s="82" t="s">
        <v>282</v>
      </c>
      <c r="B273" s="16" t="s">
        <v>212</v>
      </c>
      <c r="C273" s="16" t="s">
        <v>278</v>
      </c>
      <c r="D273" s="146">
        <f>4120800+1387000</f>
        <v>5507800</v>
      </c>
      <c r="E273" s="60">
        <v>4120800</v>
      </c>
      <c r="F273" s="60">
        <v>4120800</v>
      </c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137"/>
      <c r="W273" s="40"/>
      <c r="X273" s="40"/>
      <c r="Y273" s="40"/>
      <c r="Z273" s="40"/>
      <c r="AC273" s="42"/>
      <c r="AD273" s="42"/>
      <c r="AE273" s="42"/>
      <c r="AF273" s="42"/>
      <c r="AG273" s="42"/>
      <c r="AH273" s="42"/>
      <c r="AI273" s="40"/>
      <c r="AJ273" s="40"/>
      <c r="AK273" s="40"/>
      <c r="AL273" s="40"/>
      <c r="AM273" s="40"/>
      <c r="AN273" s="40"/>
      <c r="AO273" s="40"/>
      <c r="AP273" s="40"/>
      <c r="AQ273" s="40"/>
      <c r="AR273" s="40"/>
      <c r="AS273" s="40"/>
      <c r="AT273" s="40"/>
      <c r="AU273" s="40"/>
      <c r="AV273" s="40"/>
      <c r="AW273" s="40"/>
      <c r="BM273" s="40"/>
      <c r="BN273" s="40"/>
    </row>
    <row r="274" spans="1:66" s="4" customFormat="1" ht="51" x14ac:dyDescent="0.25">
      <c r="A274" s="82" t="s">
        <v>283</v>
      </c>
      <c r="B274" s="16" t="s">
        <v>212</v>
      </c>
      <c r="C274" s="16" t="s">
        <v>278</v>
      </c>
      <c r="D274" s="145">
        <f>3257100+179300+993200</f>
        <v>4429600</v>
      </c>
      <c r="E274" s="58">
        <v>3436400</v>
      </c>
      <c r="F274" s="58">
        <v>3436400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136"/>
      <c r="W274" s="3"/>
      <c r="X274" s="3"/>
      <c r="Y274" s="3"/>
      <c r="Z274" s="3"/>
      <c r="AC274" s="5"/>
      <c r="AD274" s="5"/>
      <c r="AE274" s="5"/>
      <c r="AF274" s="5"/>
      <c r="AG274" s="5"/>
      <c r="AH274" s="5"/>
      <c r="AI274" s="3"/>
      <c r="AJ274" s="3"/>
      <c r="AK274" s="3"/>
      <c r="AL274" s="3"/>
      <c r="AM274" s="3"/>
      <c r="AN274" s="3"/>
      <c r="AO274" s="3"/>
      <c r="AP274" s="3"/>
      <c r="AQ274" s="3"/>
      <c r="AR274" s="6"/>
      <c r="AS274" s="6"/>
      <c r="AT274" s="3"/>
      <c r="AU274" s="3"/>
      <c r="AV274" s="3"/>
      <c r="AW274" s="3"/>
      <c r="BM274" s="3"/>
      <c r="BN274" s="3"/>
    </row>
    <row r="275" spans="1:66" s="41" customFormat="1" ht="25.5" x14ac:dyDescent="0.25">
      <c r="A275" s="101" t="s">
        <v>284</v>
      </c>
      <c r="B275" s="16" t="s">
        <v>212</v>
      </c>
      <c r="C275" s="16" t="s">
        <v>278</v>
      </c>
      <c r="D275" s="146">
        <f>1077800+385400</f>
        <v>1463200</v>
      </c>
      <c r="E275" s="60">
        <v>1077800</v>
      </c>
      <c r="F275" s="60">
        <v>1077800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137"/>
      <c r="W275" s="40"/>
      <c r="X275" s="40"/>
      <c r="Y275" s="40"/>
      <c r="Z275" s="40"/>
      <c r="AC275" s="42"/>
      <c r="AD275" s="42"/>
      <c r="AE275" s="42"/>
      <c r="AF275" s="42"/>
      <c r="AG275" s="42"/>
      <c r="AH275" s="42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BM275" s="40"/>
      <c r="BN275" s="40"/>
    </row>
    <row r="276" spans="1:66" s="41" customFormat="1" ht="76.5" x14ac:dyDescent="0.25">
      <c r="A276" s="101" t="s">
        <v>285</v>
      </c>
      <c r="B276" s="16" t="s">
        <v>212</v>
      </c>
      <c r="C276" s="16" t="s">
        <v>278</v>
      </c>
      <c r="D276" s="59">
        <v>700</v>
      </c>
      <c r="E276" s="59">
        <v>700</v>
      </c>
      <c r="F276" s="59">
        <v>700</v>
      </c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137"/>
      <c r="W276" s="40"/>
      <c r="X276" s="40"/>
      <c r="Y276" s="40"/>
      <c r="Z276" s="40"/>
      <c r="AC276" s="42"/>
      <c r="AD276" s="42"/>
      <c r="AE276" s="42"/>
      <c r="AF276" s="42"/>
      <c r="AG276" s="42"/>
      <c r="AH276" s="42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BM276" s="40"/>
      <c r="BN276" s="40"/>
    </row>
    <row r="277" spans="1:66" s="4" customFormat="1" ht="38.25" x14ac:dyDescent="0.25">
      <c r="A277" s="101" t="s">
        <v>286</v>
      </c>
      <c r="B277" s="16" t="s">
        <v>212</v>
      </c>
      <c r="C277" s="16" t="s">
        <v>278</v>
      </c>
      <c r="D277" s="145">
        <f>2154300+110400+671100</f>
        <v>2935800</v>
      </c>
      <c r="E277" s="58">
        <v>2264700</v>
      </c>
      <c r="F277" s="58">
        <v>2264700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136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" customFormat="1" ht="51" x14ac:dyDescent="0.25">
      <c r="A278" s="95" t="s">
        <v>311</v>
      </c>
      <c r="B278" s="16" t="s">
        <v>80</v>
      </c>
      <c r="C278" s="16" t="s">
        <v>278</v>
      </c>
      <c r="D278" s="145">
        <f>1320900+97800+545600</f>
        <v>1964300</v>
      </c>
      <c r="E278" s="58">
        <f>1320900+97800</f>
        <v>1418700</v>
      </c>
      <c r="F278" s="58">
        <f>1320900+97800</f>
        <v>1418700</v>
      </c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136"/>
      <c r="W278" s="3"/>
      <c r="X278" s="3"/>
      <c r="Y278" s="3"/>
      <c r="Z278" s="3"/>
      <c r="AC278" s="5"/>
      <c r="AD278" s="5"/>
      <c r="AE278" s="5"/>
      <c r="AF278" s="5"/>
      <c r="AG278" s="5"/>
      <c r="AH278" s="5"/>
      <c r="AI278" s="3"/>
      <c r="AJ278" s="3"/>
      <c r="AK278" s="3"/>
      <c r="AL278" s="3"/>
      <c r="AM278" s="3"/>
      <c r="AN278" s="3"/>
      <c r="AO278" s="3"/>
      <c r="AP278" s="3"/>
      <c r="AQ278" s="3"/>
      <c r="AR278" s="6"/>
      <c r="AS278" s="6"/>
      <c r="AT278" s="3"/>
      <c r="AU278" s="3"/>
      <c r="AV278" s="3"/>
      <c r="AW278" s="3"/>
      <c r="AY278" s="195"/>
      <c r="AZ278" s="195"/>
      <c r="BA278" s="195"/>
      <c r="BB278" s="195"/>
      <c r="BC278" s="195"/>
      <c r="BD278" s="195"/>
      <c r="BM278" s="3"/>
      <c r="BN278" s="3"/>
    </row>
    <row r="279" spans="1:66" s="4" customFormat="1" ht="51" x14ac:dyDescent="0.25">
      <c r="A279" s="101" t="s">
        <v>348</v>
      </c>
      <c r="B279" s="16" t="s">
        <v>6</v>
      </c>
      <c r="C279" s="36" t="s">
        <v>287</v>
      </c>
      <c r="D279" s="58">
        <f>+D280</f>
        <v>11600</v>
      </c>
      <c r="E279" s="58">
        <f>+E280</f>
        <v>1400</v>
      </c>
      <c r="F279" s="58">
        <f>+F280</f>
        <v>1200</v>
      </c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136"/>
      <c r="W279" s="3"/>
      <c r="X279" s="3"/>
      <c r="Y279" s="3"/>
      <c r="Z279" s="3"/>
      <c r="AC279" s="5"/>
      <c r="AD279" s="5"/>
      <c r="AE279" s="5"/>
      <c r="AF279" s="5"/>
      <c r="AG279" s="5"/>
      <c r="AH279" s="5"/>
      <c r="AI279" s="3"/>
      <c r="AJ279" s="3"/>
      <c r="AK279" s="3"/>
      <c r="AL279" s="3"/>
      <c r="AM279" s="3"/>
      <c r="AN279" s="3"/>
      <c r="AO279" s="3"/>
      <c r="AP279" s="3"/>
      <c r="AQ279" s="3"/>
      <c r="AR279" s="6"/>
      <c r="AS279" s="6"/>
      <c r="AT279" s="3"/>
      <c r="AU279" s="3"/>
      <c r="AV279" s="3"/>
      <c r="AW279" s="3"/>
      <c r="BM279" s="3"/>
      <c r="BN279" s="3"/>
    </row>
    <row r="280" spans="1:66" s="4" customFormat="1" ht="51" x14ac:dyDescent="0.25">
      <c r="A280" s="101" t="s">
        <v>288</v>
      </c>
      <c r="B280" s="16" t="s">
        <v>212</v>
      </c>
      <c r="C280" s="36" t="s">
        <v>289</v>
      </c>
      <c r="D280" s="58">
        <f>1300+10300</f>
        <v>11600</v>
      </c>
      <c r="E280" s="58">
        <v>1400</v>
      </c>
      <c r="F280" s="58">
        <v>1200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136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4" customFormat="1" x14ac:dyDescent="0.25">
      <c r="A281" s="101" t="s">
        <v>290</v>
      </c>
      <c r="B281" s="16" t="s">
        <v>6</v>
      </c>
      <c r="C281" s="17" t="s">
        <v>291</v>
      </c>
      <c r="D281" s="55">
        <f>+D282</f>
        <v>2056038200</v>
      </c>
      <c r="E281" s="55">
        <f>+E282</f>
        <v>1816026100</v>
      </c>
      <c r="F281" s="55">
        <f>+F282</f>
        <v>1816026100</v>
      </c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136"/>
      <c r="W281" s="3"/>
      <c r="X281" s="3"/>
      <c r="Y281" s="3"/>
      <c r="Z281" s="3"/>
      <c r="AC281" s="5"/>
      <c r="AD281" s="5"/>
      <c r="AE281" s="5"/>
      <c r="AF281" s="5"/>
      <c r="AG281" s="5"/>
      <c r="AH281" s="5"/>
      <c r="AI281" s="3"/>
      <c r="AJ281" s="3"/>
      <c r="AK281" s="3"/>
      <c r="AL281" s="3"/>
      <c r="AM281" s="3"/>
      <c r="AN281" s="3"/>
      <c r="AO281" s="3"/>
      <c r="AP281" s="3"/>
      <c r="AQ281" s="3"/>
      <c r="AR281" s="6"/>
      <c r="AS281" s="6"/>
      <c r="AT281" s="3"/>
      <c r="AU281" s="3"/>
      <c r="AV281" s="3"/>
      <c r="AW281" s="3"/>
      <c r="BM281" s="3"/>
      <c r="BN281" s="3"/>
    </row>
    <row r="282" spans="1:66" s="4" customFormat="1" x14ac:dyDescent="0.25">
      <c r="A282" s="101" t="s">
        <v>292</v>
      </c>
      <c r="B282" s="16" t="s">
        <v>6</v>
      </c>
      <c r="C282" s="17" t="s">
        <v>293</v>
      </c>
      <c r="D282" s="55">
        <f t="shared" ref="D282:F282" si="85">+D283+D284</f>
        <v>2056038200</v>
      </c>
      <c r="E282" s="55">
        <f t="shared" si="85"/>
        <v>1816026100</v>
      </c>
      <c r="F282" s="55">
        <f t="shared" si="85"/>
        <v>1816026100</v>
      </c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136"/>
      <c r="W282" s="3"/>
      <c r="X282" s="3"/>
      <c r="Y282" s="3"/>
      <c r="Z282" s="3"/>
      <c r="AC282" s="5"/>
      <c r="AD282" s="5"/>
      <c r="AE282" s="5"/>
      <c r="AF282" s="5"/>
      <c r="AG282" s="5"/>
      <c r="AH282" s="5"/>
      <c r="AI282" s="3"/>
      <c r="AJ282" s="3"/>
      <c r="AK282" s="3"/>
      <c r="AL282" s="3"/>
      <c r="AM282" s="3"/>
      <c r="AN282" s="3"/>
      <c r="AO282" s="3"/>
      <c r="AP282" s="3"/>
      <c r="AQ282" s="3"/>
      <c r="AR282" s="6"/>
      <c r="AS282" s="6"/>
      <c r="AT282" s="3"/>
      <c r="AU282" s="3"/>
      <c r="AV282" s="3"/>
      <c r="AW282" s="3"/>
      <c r="BM282" s="3"/>
      <c r="BN282" s="3"/>
    </row>
    <row r="283" spans="1:66" s="4" customFormat="1" ht="76.5" x14ac:dyDescent="0.25">
      <c r="A283" s="82" t="s">
        <v>294</v>
      </c>
      <c r="B283" s="16" t="s">
        <v>256</v>
      </c>
      <c r="C283" s="17" t="s">
        <v>295</v>
      </c>
      <c r="D283" s="147">
        <f>929178000+58752700</f>
        <v>987930700</v>
      </c>
      <c r="E283" s="56">
        <v>863674800</v>
      </c>
      <c r="F283" s="56">
        <v>863674800</v>
      </c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136"/>
      <c r="W283" s="3"/>
      <c r="X283" s="3"/>
      <c r="Y283" s="3"/>
      <c r="Z283" s="3"/>
      <c r="AC283" s="5"/>
      <c r="AD283" s="5"/>
      <c r="AE283" s="5"/>
      <c r="AF283" s="5"/>
      <c r="AG283" s="5"/>
      <c r="AH283" s="5"/>
      <c r="AI283" s="3"/>
      <c r="AJ283" s="3"/>
      <c r="AK283" s="3"/>
      <c r="AL283" s="3"/>
      <c r="AM283" s="3"/>
      <c r="AN283" s="3"/>
      <c r="AO283" s="3"/>
      <c r="AP283" s="3"/>
      <c r="AQ283" s="3"/>
      <c r="AR283" s="6"/>
      <c r="AS283" s="6"/>
      <c r="AT283" s="3"/>
      <c r="AU283" s="3"/>
      <c r="AV283" s="3"/>
      <c r="AW283" s="3"/>
      <c r="BM283" s="3"/>
      <c r="BN283" s="3"/>
    </row>
    <row r="284" spans="1:66" s="4" customFormat="1" ht="51" x14ac:dyDescent="0.25">
      <c r="A284" s="82" t="s">
        <v>296</v>
      </c>
      <c r="B284" s="16" t="s">
        <v>256</v>
      </c>
      <c r="C284" s="17" t="s">
        <v>293</v>
      </c>
      <c r="D284" s="147">
        <f>1020012200+48095300</f>
        <v>1068107500</v>
      </c>
      <c r="E284" s="56">
        <v>952351300</v>
      </c>
      <c r="F284" s="56">
        <v>952351300</v>
      </c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136"/>
      <c r="W284" s="3"/>
      <c r="X284" s="3"/>
      <c r="Y284" s="3"/>
      <c r="Z284" s="3"/>
      <c r="AC284" s="5"/>
      <c r="AD284" s="5"/>
      <c r="AE284" s="5"/>
      <c r="AF284" s="5"/>
      <c r="AG284" s="5"/>
      <c r="AH284" s="5"/>
      <c r="AI284" s="3"/>
      <c r="AJ284" s="3"/>
      <c r="AK284" s="3"/>
      <c r="AL284" s="3"/>
      <c r="AM284" s="3"/>
      <c r="AN284" s="3"/>
      <c r="AO284" s="3"/>
      <c r="AP284" s="3"/>
      <c r="AQ284" s="3"/>
      <c r="AR284" s="6"/>
      <c r="AS284" s="6"/>
      <c r="AT284" s="3"/>
      <c r="AU284" s="3"/>
      <c r="AV284" s="3"/>
      <c r="AW284" s="3"/>
      <c r="BM284" s="3"/>
      <c r="BN284" s="3"/>
    </row>
    <row r="285" spans="1:66" s="4" customFormat="1" x14ac:dyDescent="0.25">
      <c r="A285" s="82" t="s">
        <v>417</v>
      </c>
      <c r="B285" s="16" t="s">
        <v>6</v>
      </c>
      <c r="C285" s="17" t="s">
        <v>418</v>
      </c>
      <c r="D285" s="56">
        <f>+D286+D288+D290+D292</f>
        <v>76707100</v>
      </c>
      <c r="E285" s="56">
        <f t="shared" ref="E285:F285" si="86">+E286+E288+E290+E292</f>
        <v>61271900</v>
      </c>
      <c r="F285" s="56">
        <f t="shared" si="86"/>
        <v>61271900</v>
      </c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136"/>
      <c r="W285" s="3"/>
      <c r="X285" s="3"/>
      <c r="Y285" s="3"/>
      <c r="Z285" s="3"/>
      <c r="AC285" s="5"/>
      <c r="AD285" s="5"/>
      <c r="AE285" s="5"/>
      <c r="AF285" s="5"/>
      <c r="AG285" s="5"/>
      <c r="AH285" s="5"/>
      <c r="AI285" s="3"/>
      <c r="AJ285" s="3"/>
      <c r="AK285" s="3"/>
      <c r="AL285" s="3"/>
      <c r="AM285" s="3"/>
      <c r="AN285" s="3"/>
      <c r="AO285" s="3"/>
      <c r="AP285" s="3"/>
      <c r="AQ285" s="3"/>
      <c r="AR285" s="6"/>
      <c r="AS285" s="6"/>
      <c r="AT285" s="3"/>
      <c r="AU285" s="3"/>
      <c r="AV285" s="3"/>
      <c r="AW285" s="3"/>
      <c r="BM285" s="3"/>
      <c r="BN285" s="3"/>
    </row>
    <row r="286" spans="1:66" s="4" customFormat="1" ht="63.75" x14ac:dyDescent="0.25">
      <c r="A286" s="82" t="s">
        <v>424</v>
      </c>
      <c r="B286" s="16" t="s">
        <v>6</v>
      </c>
      <c r="C286" s="75" t="s">
        <v>420</v>
      </c>
      <c r="D286" s="56">
        <f>+D287</f>
        <v>5673900</v>
      </c>
      <c r="E286" s="56">
        <f t="shared" ref="E286:F286" si="87">+E287</f>
        <v>5588000</v>
      </c>
      <c r="F286" s="56">
        <f t="shared" si="87"/>
        <v>5588000</v>
      </c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136"/>
      <c r="W286" s="3"/>
      <c r="X286" s="3"/>
      <c r="Y286" s="3"/>
      <c r="Z286" s="3"/>
      <c r="AC286" s="5"/>
      <c r="AD286" s="5"/>
      <c r="AE286" s="5"/>
      <c r="AF286" s="5"/>
      <c r="AG286" s="5"/>
      <c r="AH286" s="5"/>
      <c r="AI286" s="3"/>
      <c r="AJ286" s="3"/>
      <c r="AK286" s="3"/>
      <c r="AL286" s="3"/>
      <c r="AM286" s="3"/>
      <c r="AN286" s="3"/>
      <c r="AO286" s="3"/>
      <c r="AP286" s="3"/>
      <c r="AQ286" s="3"/>
      <c r="AR286" s="6"/>
      <c r="AS286" s="6"/>
      <c r="AT286" s="3"/>
      <c r="AU286" s="3"/>
      <c r="AV286" s="3"/>
      <c r="AW286" s="3"/>
      <c r="BM286" s="3"/>
      <c r="BN286" s="3"/>
    </row>
    <row r="287" spans="1:66" s="4" customFormat="1" ht="63.75" x14ac:dyDescent="0.25">
      <c r="A287" s="82" t="s">
        <v>419</v>
      </c>
      <c r="B287" s="16" t="s">
        <v>256</v>
      </c>
      <c r="C287" s="75" t="s">
        <v>421</v>
      </c>
      <c r="D287" s="56">
        <v>5673900</v>
      </c>
      <c r="E287" s="56">
        <v>5588000</v>
      </c>
      <c r="F287" s="56">
        <v>5588000</v>
      </c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136"/>
      <c r="W287" s="3"/>
      <c r="X287" s="3"/>
      <c r="Y287" s="3"/>
      <c r="Z287" s="3"/>
      <c r="AC287" s="5"/>
      <c r="AD287" s="5"/>
      <c r="AE287" s="5"/>
      <c r="AF287" s="5"/>
      <c r="AG287" s="5"/>
      <c r="AH287" s="5"/>
      <c r="AI287" s="3"/>
      <c r="AJ287" s="3"/>
      <c r="AK287" s="3"/>
      <c r="AL287" s="3"/>
      <c r="AM287" s="3"/>
      <c r="AN287" s="3"/>
      <c r="AO287" s="3"/>
      <c r="AP287" s="3"/>
      <c r="AQ287" s="3"/>
      <c r="AR287" s="6"/>
      <c r="AS287" s="6"/>
      <c r="AT287" s="3"/>
      <c r="AU287" s="3"/>
      <c r="AV287" s="3"/>
      <c r="AW287" s="3"/>
      <c r="BM287" s="3"/>
      <c r="BN287" s="3"/>
    </row>
    <row r="288" spans="1:66" s="4" customFormat="1" ht="89.25" x14ac:dyDescent="0.25">
      <c r="A288" s="101" t="s">
        <v>426</v>
      </c>
      <c r="B288" s="16" t="s">
        <v>6</v>
      </c>
      <c r="C288" s="17" t="s">
        <v>422</v>
      </c>
      <c r="D288" s="56">
        <f>+D289</f>
        <v>55683900</v>
      </c>
      <c r="E288" s="56">
        <f t="shared" ref="E288:F288" si="88">+E289</f>
        <v>55683900</v>
      </c>
      <c r="F288" s="56">
        <f t="shared" si="88"/>
        <v>55683900</v>
      </c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136"/>
      <c r="W288" s="3"/>
      <c r="X288" s="3"/>
      <c r="Y288" s="3"/>
      <c r="Z288" s="3"/>
      <c r="AC288" s="5"/>
      <c r="AD288" s="5"/>
      <c r="AE288" s="5"/>
      <c r="AF288" s="5"/>
      <c r="AG288" s="5"/>
      <c r="AH288" s="5"/>
      <c r="AI288" s="3"/>
      <c r="AJ288" s="3"/>
      <c r="AK288" s="3"/>
      <c r="AL288" s="3"/>
      <c r="AM288" s="3"/>
      <c r="AN288" s="3"/>
      <c r="AO288" s="3"/>
      <c r="AP288" s="3"/>
      <c r="AQ288" s="3"/>
      <c r="AR288" s="6"/>
      <c r="AS288" s="6"/>
      <c r="AT288" s="3"/>
      <c r="AU288" s="3"/>
      <c r="AV288" s="3"/>
      <c r="AW288" s="3"/>
      <c r="BM288" s="3"/>
      <c r="BN288" s="3"/>
    </row>
    <row r="289" spans="1:66" s="4" customFormat="1" ht="102" x14ac:dyDescent="0.25">
      <c r="A289" s="101" t="s">
        <v>425</v>
      </c>
      <c r="B289" s="16" t="s">
        <v>256</v>
      </c>
      <c r="C289" s="17" t="s">
        <v>423</v>
      </c>
      <c r="D289" s="56">
        <v>55683900</v>
      </c>
      <c r="E289" s="56">
        <v>55683900</v>
      </c>
      <c r="F289" s="56">
        <v>55683900</v>
      </c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136"/>
      <c r="W289" s="3"/>
      <c r="X289" s="3"/>
      <c r="Y289" s="3"/>
      <c r="Z289" s="3"/>
      <c r="AC289" s="5"/>
      <c r="AD289" s="5"/>
      <c r="AE289" s="5"/>
      <c r="AF289" s="5"/>
      <c r="AG289" s="5"/>
      <c r="AH289" s="5"/>
      <c r="AI289" s="3"/>
      <c r="AJ289" s="3"/>
      <c r="AK289" s="3"/>
      <c r="AL289" s="3"/>
      <c r="AM289" s="3"/>
      <c r="AN289" s="3"/>
      <c r="AO289" s="3"/>
      <c r="AP289" s="3"/>
      <c r="AQ289" s="3"/>
      <c r="AR289" s="6"/>
      <c r="AS289" s="6"/>
      <c r="AT289" s="3"/>
      <c r="AU289" s="3"/>
      <c r="AV289" s="3"/>
      <c r="AW289" s="3"/>
      <c r="BM289" s="3"/>
      <c r="BN289" s="3"/>
    </row>
    <row r="290" spans="1:66" s="4" customFormat="1" ht="63.75" x14ac:dyDescent="0.25">
      <c r="A290" s="101" t="s">
        <v>458</v>
      </c>
      <c r="B290" s="16" t="s">
        <v>6</v>
      </c>
      <c r="C290" s="17" t="s">
        <v>459</v>
      </c>
      <c r="D290" s="56">
        <f>+D291</f>
        <v>6907100</v>
      </c>
      <c r="E290" s="56">
        <f t="shared" ref="E290:F290" si="89">+E291</f>
        <v>0</v>
      </c>
      <c r="F290" s="56">
        <f t="shared" si="89"/>
        <v>0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136"/>
      <c r="W290" s="3"/>
      <c r="X290" s="3"/>
      <c r="Y290" s="3"/>
      <c r="Z290" s="3"/>
      <c r="AC290" s="5"/>
      <c r="AD290" s="5"/>
      <c r="AE290" s="5"/>
      <c r="AF290" s="5"/>
      <c r="AG290" s="5"/>
      <c r="AH290" s="5"/>
      <c r="AI290" s="3"/>
      <c r="AJ290" s="3"/>
      <c r="AK290" s="3"/>
      <c r="AL290" s="3"/>
      <c r="AM290" s="3"/>
      <c r="AN290" s="3"/>
      <c r="AO290" s="3"/>
      <c r="AP290" s="3"/>
      <c r="AQ290" s="3"/>
      <c r="AR290" s="6"/>
      <c r="AS290" s="6"/>
      <c r="AT290" s="3"/>
      <c r="AU290" s="3"/>
      <c r="AV290" s="3"/>
      <c r="AW290" s="3"/>
      <c r="BM290" s="3"/>
      <c r="BN290" s="3"/>
    </row>
    <row r="291" spans="1:66" s="4" customFormat="1" ht="63.75" x14ac:dyDescent="0.25">
      <c r="A291" s="129" t="s">
        <v>456</v>
      </c>
      <c r="B291" s="16" t="s">
        <v>80</v>
      </c>
      <c r="C291" s="17" t="s">
        <v>457</v>
      </c>
      <c r="D291" s="56">
        <v>6907100</v>
      </c>
      <c r="E291" s="56">
        <v>0</v>
      </c>
      <c r="F291" s="56">
        <v>0</v>
      </c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136"/>
      <c r="W291" s="3"/>
      <c r="X291" s="3"/>
      <c r="Y291" s="3"/>
      <c r="Z291" s="3"/>
      <c r="AC291" s="5"/>
      <c r="AD291" s="5"/>
      <c r="AE291" s="5"/>
      <c r="AF291" s="5"/>
      <c r="AG291" s="5"/>
      <c r="AH291" s="5"/>
      <c r="AI291" s="3"/>
      <c r="AJ291" s="3"/>
      <c r="AK291" s="3"/>
      <c r="AL291" s="3"/>
      <c r="AM291" s="3"/>
      <c r="AN291" s="3"/>
      <c r="AO291" s="3"/>
      <c r="AP291" s="3"/>
      <c r="AQ291" s="3"/>
      <c r="AR291" s="6"/>
      <c r="AS291" s="6"/>
      <c r="AT291" s="3"/>
      <c r="AU291" s="3"/>
      <c r="AV291" s="3"/>
      <c r="AW291" s="3"/>
      <c r="BM291" s="3"/>
      <c r="BN291" s="3"/>
    </row>
    <row r="292" spans="1:66" s="4" customFormat="1" x14ac:dyDescent="0.25">
      <c r="A292" s="130" t="s">
        <v>494</v>
      </c>
      <c r="B292" s="16" t="s">
        <v>6</v>
      </c>
      <c r="C292" s="131" t="s">
        <v>496</v>
      </c>
      <c r="D292" s="56">
        <f>+D293</f>
        <v>8442200</v>
      </c>
      <c r="E292" s="56">
        <f t="shared" ref="E292:F292" si="90">+E293</f>
        <v>0</v>
      </c>
      <c r="F292" s="56">
        <f t="shared" si="90"/>
        <v>0</v>
      </c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136"/>
      <c r="W292" s="3"/>
      <c r="X292" s="3"/>
      <c r="Y292" s="3"/>
      <c r="Z292" s="3"/>
      <c r="AC292" s="5"/>
      <c r="AD292" s="5"/>
      <c r="AE292" s="5"/>
      <c r="AF292" s="5"/>
      <c r="AG292" s="5"/>
      <c r="AH292" s="5"/>
      <c r="AI292" s="3"/>
      <c r="AJ292" s="3"/>
      <c r="AK292" s="3"/>
      <c r="AL292" s="3"/>
      <c r="AM292" s="3"/>
      <c r="AN292" s="3"/>
      <c r="AO292" s="3"/>
      <c r="AP292" s="3"/>
      <c r="AQ292" s="3"/>
      <c r="AR292" s="6"/>
      <c r="AS292" s="6"/>
      <c r="AT292" s="3"/>
      <c r="AU292" s="3"/>
      <c r="AV292" s="3"/>
      <c r="AW292" s="3"/>
      <c r="BM292" s="3"/>
      <c r="BN292" s="3"/>
    </row>
    <row r="293" spans="1:66" s="4" customFormat="1" ht="25.5" x14ac:dyDescent="0.25">
      <c r="A293" s="130" t="s">
        <v>495</v>
      </c>
      <c r="B293" s="16" t="s">
        <v>249</v>
      </c>
      <c r="C293" s="131" t="s">
        <v>497</v>
      </c>
      <c r="D293" s="132">
        <v>8442200</v>
      </c>
      <c r="E293" s="56">
        <v>0</v>
      </c>
      <c r="F293" s="56">
        <v>0</v>
      </c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136"/>
      <c r="W293" s="3"/>
      <c r="X293" s="3"/>
      <c r="Y293" s="3"/>
      <c r="Z293" s="3"/>
      <c r="AC293" s="5"/>
      <c r="AD293" s="5"/>
      <c r="AE293" s="5"/>
      <c r="AF293" s="5"/>
      <c r="AG293" s="5"/>
      <c r="AH293" s="5"/>
      <c r="AI293" s="3"/>
      <c r="AJ293" s="3"/>
      <c r="AK293" s="3"/>
      <c r="AL293" s="3"/>
      <c r="AM293" s="3"/>
      <c r="AN293" s="3"/>
      <c r="AO293" s="3"/>
      <c r="AP293" s="3"/>
      <c r="AQ293" s="3"/>
      <c r="AR293" s="6"/>
      <c r="AS293" s="6"/>
      <c r="AT293" s="3"/>
      <c r="AU293" s="3"/>
      <c r="AV293" s="3"/>
      <c r="AW293" s="3"/>
      <c r="BM293" s="3"/>
      <c r="BN293" s="3"/>
    </row>
    <row r="294" spans="1:66" s="4" customFormat="1" ht="51" x14ac:dyDescent="0.25">
      <c r="A294" s="96" t="s">
        <v>377</v>
      </c>
      <c r="B294" s="16" t="s">
        <v>6</v>
      </c>
      <c r="C294" s="72" t="s">
        <v>378</v>
      </c>
      <c r="D294" s="56">
        <f>+D295</f>
        <v>327119.12</v>
      </c>
      <c r="E294" s="56">
        <f t="shared" ref="E294:F296" si="91">+E295</f>
        <v>0</v>
      </c>
      <c r="F294" s="56">
        <f t="shared" si="91"/>
        <v>0</v>
      </c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136"/>
      <c r="W294" s="3"/>
      <c r="X294" s="3"/>
      <c r="Y294" s="3"/>
      <c r="Z294" s="3"/>
      <c r="AC294" s="5"/>
      <c r="AD294" s="5"/>
      <c r="AE294" s="5"/>
      <c r="AF294" s="5"/>
      <c r="AG294" s="5"/>
      <c r="AH294" s="5"/>
      <c r="AI294" s="3"/>
      <c r="AJ294" s="3"/>
      <c r="AK294" s="3"/>
      <c r="AL294" s="3"/>
      <c r="AM294" s="3"/>
      <c r="AN294" s="3"/>
      <c r="AO294" s="3"/>
      <c r="AP294" s="3"/>
      <c r="AQ294" s="3"/>
      <c r="AR294" s="6"/>
      <c r="AS294" s="6"/>
      <c r="AT294" s="3"/>
      <c r="AU294" s="3"/>
      <c r="AV294" s="3"/>
      <c r="AW294" s="3"/>
      <c r="BM294" s="3"/>
      <c r="BN294" s="3"/>
    </row>
    <row r="295" spans="1:66" s="4" customFormat="1" ht="76.5" x14ac:dyDescent="0.25">
      <c r="A295" s="96" t="s">
        <v>379</v>
      </c>
      <c r="B295" s="16" t="s">
        <v>6</v>
      </c>
      <c r="C295" s="72" t="s">
        <v>380</v>
      </c>
      <c r="D295" s="56">
        <f>+D296</f>
        <v>327119.12</v>
      </c>
      <c r="E295" s="56">
        <f t="shared" si="91"/>
        <v>0</v>
      </c>
      <c r="F295" s="56">
        <f t="shared" si="91"/>
        <v>0</v>
      </c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136"/>
      <c r="W295" s="3"/>
      <c r="X295" s="3"/>
      <c r="Y295" s="3"/>
      <c r="Z295" s="3"/>
      <c r="AC295" s="5"/>
      <c r="AD295" s="5"/>
      <c r="AE295" s="5"/>
      <c r="AF295" s="5"/>
      <c r="AG295" s="5"/>
      <c r="AH295" s="5"/>
      <c r="AI295" s="3"/>
      <c r="AJ295" s="3"/>
      <c r="AK295" s="3"/>
      <c r="AL295" s="3"/>
      <c r="AM295" s="3"/>
      <c r="AN295" s="3"/>
      <c r="AO295" s="3"/>
      <c r="AP295" s="3"/>
      <c r="AQ295" s="3"/>
      <c r="AR295" s="6"/>
      <c r="AS295" s="6"/>
      <c r="AT295" s="3"/>
      <c r="AU295" s="3"/>
      <c r="AV295" s="3"/>
      <c r="AW295" s="3"/>
      <c r="BM295" s="3"/>
      <c r="BN295" s="3"/>
    </row>
    <row r="296" spans="1:66" s="4" customFormat="1" ht="63.75" x14ac:dyDescent="0.25">
      <c r="A296" s="96" t="s">
        <v>381</v>
      </c>
      <c r="B296" s="16" t="s">
        <v>6</v>
      </c>
      <c r="C296" s="72" t="s">
        <v>382</v>
      </c>
      <c r="D296" s="56">
        <f>+D297</f>
        <v>327119.12</v>
      </c>
      <c r="E296" s="56">
        <f t="shared" si="91"/>
        <v>0</v>
      </c>
      <c r="F296" s="56">
        <f t="shared" si="91"/>
        <v>0</v>
      </c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136"/>
      <c r="W296" s="3"/>
      <c r="X296" s="3"/>
      <c r="Y296" s="3"/>
      <c r="Z296" s="3"/>
      <c r="AC296" s="5"/>
      <c r="AD296" s="5"/>
      <c r="AE296" s="5"/>
      <c r="AF296" s="5"/>
      <c r="AG296" s="5"/>
      <c r="AH296" s="5"/>
      <c r="AI296" s="3"/>
      <c r="AJ296" s="3"/>
      <c r="AK296" s="3"/>
      <c r="AL296" s="3"/>
      <c r="AM296" s="3"/>
      <c r="AN296" s="3"/>
      <c r="AO296" s="3"/>
      <c r="AP296" s="3"/>
      <c r="AQ296" s="3"/>
      <c r="AR296" s="6"/>
      <c r="AS296" s="6"/>
      <c r="AT296" s="3"/>
      <c r="AU296" s="3"/>
      <c r="AV296" s="3"/>
      <c r="AW296" s="3"/>
      <c r="BM296" s="3"/>
      <c r="BN296" s="3"/>
    </row>
    <row r="297" spans="1:66" s="4" customFormat="1" ht="25.5" x14ac:dyDescent="0.25">
      <c r="A297" s="96" t="s">
        <v>383</v>
      </c>
      <c r="B297" s="16" t="s">
        <v>6</v>
      </c>
      <c r="C297" s="72" t="s">
        <v>384</v>
      </c>
      <c r="D297" s="56">
        <f>+D298+D299+D300</f>
        <v>327119.12</v>
      </c>
      <c r="E297" s="56">
        <f t="shared" ref="E297:F297" si="92">+E298+E299+E300</f>
        <v>0</v>
      </c>
      <c r="F297" s="56">
        <f t="shared" si="92"/>
        <v>0</v>
      </c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136"/>
      <c r="W297" s="3"/>
      <c r="X297" s="3"/>
      <c r="Y297" s="3"/>
      <c r="Z297" s="3"/>
      <c r="AC297" s="5"/>
      <c r="AD297" s="5"/>
      <c r="AE297" s="5"/>
      <c r="AF297" s="5"/>
      <c r="AG297" s="5"/>
      <c r="AH297" s="5"/>
      <c r="AI297" s="3"/>
      <c r="AJ297" s="3"/>
      <c r="AK297" s="3"/>
      <c r="AL297" s="3"/>
      <c r="AM297" s="3"/>
      <c r="AN297" s="3"/>
      <c r="AO297" s="3"/>
      <c r="AP297" s="3"/>
      <c r="AQ297" s="3"/>
      <c r="AR297" s="6"/>
      <c r="AS297" s="6"/>
      <c r="AT297" s="3"/>
      <c r="AU297" s="3"/>
      <c r="AV297" s="3"/>
      <c r="AW297" s="3"/>
      <c r="BM297" s="3"/>
      <c r="BN297" s="3"/>
    </row>
    <row r="298" spans="1:66" s="4" customFormat="1" ht="25.5" x14ac:dyDescent="0.25">
      <c r="A298" s="80" t="s">
        <v>429</v>
      </c>
      <c r="B298" s="16" t="s">
        <v>256</v>
      </c>
      <c r="C298" s="72" t="s">
        <v>430</v>
      </c>
      <c r="D298" s="56">
        <f>9938+9885.2+61859.3+637.8+2251.32+3522.13</f>
        <v>88093.750000000015</v>
      </c>
      <c r="E298" s="56">
        <v>0</v>
      </c>
      <c r="F298" s="56">
        <v>0</v>
      </c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136"/>
      <c r="W298" s="3"/>
      <c r="X298" s="3"/>
      <c r="Y298" s="3"/>
      <c r="Z298" s="3"/>
      <c r="AC298" s="5"/>
      <c r="AD298" s="5"/>
      <c r="AE298" s="5"/>
      <c r="AF298" s="5"/>
      <c r="AG298" s="5"/>
      <c r="AH298" s="5"/>
      <c r="AI298" s="3"/>
      <c r="AJ298" s="3"/>
      <c r="AK298" s="3"/>
      <c r="AL298" s="3"/>
      <c r="AM298" s="3"/>
      <c r="AN298" s="3"/>
      <c r="AO298" s="3"/>
      <c r="AP298" s="3"/>
      <c r="AQ298" s="3"/>
      <c r="AR298" s="6"/>
      <c r="AS298" s="6"/>
      <c r="AT298" s="3"/>
      <c r="AU298" s="3"/>
      <c r="AV298" s="3"/>
      <c r="AW298" s="3"/>
      <c r="BM298" s="3"/>
      <c r="BN298" s="3"/>
    </row>
    <row r="299" spans="1:66" s="4" customFormat="1" ht="25.5" x14ac:dyDescent="0.25">
      <c r="A299" s="96" t="s">
        <v>386</v>
      </c>
      <c r="B299" s="16" t="s">
        <v>271</v>
      </c>
      <c r="C299" s="72" t="s">
        <v>385</v>
      </c>
      <c r="D299" s="56">
        <f>60781.97+167772.58</f>
        <v>228554.55</v>
      </c>
      <c r="E299" s="56">
        <v>0</v>
      </c>
      <c r="F299" s="56">
        <v>0</v>
      </c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136"/>
      <c r="W299" s="3"/>
      <c r="X299" s="3"/>
      <c r="Y299" s="3"/>
      <c r="Z299" s="3"/>
      <c r="AC299" s="5"/>
      <c r="AD299" s="5"/>
      <c r="AE299" s="5"/>
      <c r="AF299" s="5"/>
      <c r="AG299" s="5"/>
      <c r="AH299" s="5"/>
      <c r="AI299" s="3"/>
      <c r="AJ299" s="3"/>
      <c r="AK299" s="3"/>
      <c r="AL299" s="3"/>
      <c r="AM299" s="3"/>
      <c r="AN299" s="3"/>
      <c r="AO299" s="3"/>
      <c r="AP299" s="3"/>
      <c r="AQ299" s="3"/>
      <c r="AR299" s="6"/>
      <c r="AS299" s="6"/>
      <c r="AT299" s="3"/>
      <c r="AU299" s="3"/>
      <c r="AV299" s="3"/>
      <c r="AW299" s="3"/>
      <c r="BM299" s="3"/>
      <c r="BN299" s="3"/>
    </row>
    <row r="300" spans="1:66" s="4" customFormat="1" ht="25.5" x14ac:dyDescent="0.25">
      <c r="A300" s="96" t="s">
        <v>386</v>
      </c>
      <c r="B300" s="16" t="s">
        <v>212</v>
      </c>
      <c r="C300" s="72" t="s">
        <v>385</v>
      </c>
      <c r="D300" s="56">
        <f>5000+63.63+232.68+5174.51</f>
        <v>10470.82</v>
      </c>
      <c r="E300" s="56">
        <v>0</v>
      </c>
      <c r="F300" s="56">
        <v>0</v>
      </c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136"/>
      <c r="W300" s="3"/>
      <c r="X300" s="3"/>
      <c r="Y300" s="3"/>
      <c r="Z300" s="3"/>
      <c r="AC300" s="5"/>
      <c r="AD300" s="5"/>
      <c r="AE300" s="5"/>
      <c r="AF300" s="5"/>
      <c r="AG300" s="5"/>
      <c r="AH300" s="5"/>
      <c r="AI300" s="3"/>
      <c r="AJ300" s="3"/>
      <c r="AK300" s="3"/>
      <c r="AL300" s="3"/>
      <c r="AM300" s="3"/>
      <c r="AN300" s="3"/>
      <c r="AO300" s="3"/>
      <c r="AP300" s="3"/>
      <c r="AQ300" s="3"/>
      <c r="AR300" s="6"/>
      <c r="AS300" s="6"/>
      <c r="AT300" s="3"/>
      <c r="AU300" s="3"/>
      <c r="AV300" s="3"/>
      <c r="AW300" s="3"/>
      <c r="BM300" s="3"/>
      <c r="BN300" s="3"/>
    </row>
    <row r="301" spans="1:66" s="4" customFormat="1" ht="25.5" x14ac:dyDescent="0.25">
      <c r="A301" s="85" t="s">
        <v>387</v>
      </c>
      <c r="B301" s="16" t="s">
        <v>6</v>
      </c>
      <c r="C301" s="73" t="s">
        <v>388</v>
      </c>
      <c r="D301" s="56">
        <f>+D302</f>
        <v>-338001.59</v>
      </c>
      <c r="E301" s="56">
        <f t="shared" ref="E301:F301" si="93">+E302</f>
        <v>0</v>
      </c>
      <c r="F301" s="56">
        <f t="shared" si="93"/>
        <v>0</v>
      </c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136"/>
      <c r="W301" s="3"/>
      <c r="X301" s="3"/>
      <c r="Y301" s="3"/>
      <c r="Z301" s="3"/>
      <c r="AC301" s="5"/>
      <c r="AD301" s="5"/>
      <c r="AE301" s="5"/>
      <c r="AF301" s="5"/>
      <c r="AG301" s="5"/>
      <c r="AH301" s="5"/>
      <c r="AI301" s="3"/>
      <c r="AJ301" s="3"/>
      <c r="AK301" s="3"/>
      <c r="AL301" s="3"/>
      <c r="AM301" s="3"/>
      <c r="AN301" s="3"/>
      <c r="AO301" s="3"/>
      <c r="AP301" s="3"/>
      <c r="AQ301" s="3"/>
      <c r="AR301" s="6"/>
      <c r="AS301" s="6"/>
      <c r="AT301" s="3"/>
      <c r="AU301" s="3"/>
      <c r="AV301" s="3"/>
      <c r="AW301" s="3"/>
      <c r="BM301" s="3"/>
      <c r="BN301" s="3"/>
    </row>
    <row r="302" spans="1:66" s="4" customFormat="1" ht="38.25" x14ac:dyDescent="0.25">
      <c r="A302" s="85" t="s">
        <v>389</v>
      </c>
      <c r="B302" s="16" t="s">
        <v>6</v>
      </c>
      <c r="C302" s="73" t="s">
        <v>390</v>
      </c>
      <c r="D302" s="56">
        <f>+D303+D304+D305+D306</f>
        <v>-338001.59</v>
      </c>
      <c r="E302" s="56">
        <f t="shared" ref="E302:F302" si="94">+E303+E304+E305+E306</f>
        <v>0</v>
      </c>
      <c r="F302" s="56">
        <f t="shared" si="94"/>
        <v>0</v>
      </c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136"/>
      <c r="W302" s="3"/>
      <c r="X302" s="3"/>
      <c r="Y302" s="3"/>
      <c r="Z302" s="3"/>
      <c r="AC302" s="5"/>
      <c r="AD302" s="5"/>
      <c r="AE302" s="5"/>
      <c r="AF302" s="5"/>
      <c r="AG302" s="5"/>
      <c r="AH302" s="5"/>
      <c r="AI302" s="3"/>
      <c r="AJ302" s="3"/>
      <c r="AK302" s="3"/>
      <c r="AL302" s="3"/>
      <c r="AM302" s="3"/>
      <c r="AN302" s="3"/>
      <c r="AO302" s="3"/>
      <c r="AP302" s="3"/>
      <c r="AQ302" s="3"/>
      <c r="AR302" s="6"/>
      <c r="AS302" s="6"/>
      <c r="AT302" s="3"/>
      <c r="AU302" s="3"/>
      <c r="AV302" s="3"/>
      <c r="AW302" s="3"/>
      <c r="BM302" s="3"/>
      <c r="BN302" s="3"/>
    </row>
    <row r="303" spans="1:66" s="4" customFormat="1" ht="38.25" x14ac:dyDescent="0.25">
      <c r="A303" s="80" t="s">
        <v>427</v>
      </c>
      <c r="B303" s="16" t="s">
        <v>271</v>
      </c>
      <c r="C303" s="77" t="s">
        <v>428</v>
      </c>
      <c r="D303" s="56">
        <f>-60781.97-167772.58</f>
        <v>-228554.55</v>
      </c>
      <c r="E303" s="56">
        <v>0</v>
      </c>
      <c r="F303" s="56">
        <v>0</v>
      </c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136"/>
      <c r="W303" s="3"/>
      <c r="X303" s="3"/>
      <c r="Y303" s="3"/>
      <c r="Z303" s="3"/>
      <c r="AC303" s="5"/>
      <c r="AD303" s="5"/>
      <c r="AE303" s="5"/>
      <c r="AF303" s="5"/>
      <c r="AG303" s="5"/>
      <c r="AH303" s="5"/>
      <c r="AI303" s="3"/>
      <c r="AJ303" s="3"/>
      <c r="AK303" s="3"/>
      <c r="AL303" s="3"/>
      <c r="AM303" s="3"/>
      <c r="AN303" s="3"/>
      <c r="AO303" s="3"/>
      <c r="AP303" s="3"/>
      <c r="AQ303" s="3"/>
      <c r="AR303" s="6"/>
      <c r="AS303" s="6"/>
      <c r="AT303" s="3"/>
      <c r="AU303" s="3"/>
      <c r="AV303" s="3"/>
      <c r="AW303" s="3"/>
      <c r="BM303" s="3"/>
      <c r="BN303" s="3"/>
    </row>
    <row r="304" spans="1:66" s="4" customFormat="1" ht="38.25" x14ac:dyDescent="0.25">
      <c r="A304" s="97" t="s">
        <v>391</v>
      </c>
      <c r="B304" s="16" t="s">
        <v>256</v>
      </c>
      <c r="C304" s="74" t="s">
        <v>392</v>
      </c>
      <c r="D304" s="56">
        <f>-9938-9885.2-61859.3</f>
        <v>-81682.5</v>
      </c>
      <c r="E304" s="56">
        <v>0</v>
      </c>
      <c r="F304" s="56">
        <v>0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36"/>
      <c r="W304" s="3"/>
      <c r="X304" s="3"/>
      <c r="Y304" s="3"/>
      <c r="Z304" s="3"/>
      <c r="AC304" s="5"/>
      <c r="AD304" s="5"/>
      <c r="AE304" s="5"/>
      <c r="AF304" s="5"/>
      <c r="AG304" s="5"/>
      <c r="AH304" s="5"/>
      <c r="AI304" s="3"/>
      <c r="AJ304" s="3"/>
      <c r="AK304" s="3"/>
      <c r="AL304" s="3"/>
      <c r="AM304" s="3"/>
      <c r="AN304" s="3"/>
      <c r="AO304" s="3"/>
      <c r="AP304" s="3"/>
      <c r="AQ304" s="3"/>
      <c r="AR304" s="6"/>
      <c r="AS304" s="6"/>
      <c r="AT304" s="3"/>
      <c r="AU304" s="3"/>
      <c r="AV304" s="3"/>
      <c r="AW304" s="3"/>
      <c r="BM304" s="3"/>
      <c r="BN304" s="3"/>
    </row>
    <row r="305" spans="1:66" s="4" customFormat="1" ht="38.25" x14ac:dyDescent="0.25">
      <c r="A305" s="97" t="s">
        <v>391</v>
      </c>
      <c r="B305" s="16" t="s">
        <v>212</v>
      </c>
      <c r="C305" s="74" t="s">
        <v>392</v>
      </c>
      <c r="D305" s="56">
        <f>-12293.07-5000-5000-63.63-232.68-5174.51</f>
        <v>-27763.89</v>
      </c>
      <c r="E305" s="56">
        <v>0</v>
      </c>
      <c r="F305" s="56">
        <v>0</v>
      </c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36"/>
      <c r="W305" s="3"/>
      <c r="X305" s="3"/>
      <c r="Y305" s="3"/>
      <c r="Z305" s="3"/>
      <c r="AC305" s="5"/>
      <c r="AD305" s="5"/>
      <c r="AE305" s="5"/>
      <c r="AF305" s="5"/>
      <c r="AG305" s="5"/>
      <c r="AH305" s="5"/>
      <c r="AI305" s="3"/>
      <c r="AJ305" s="3"/>
      <c r="AK305" s="3"/>
      <c r="AL305" s="3"/>
      <c r="AM305" s="3"/>
      <c r="AN305" s="3"/>
      <c r="AO305" s="3"/>
      <c r="AP305" s="3"/>
      <c r="AQ305" s="3"/>
      <c r="AR305" s="6"/>
      <c r="AS305" s="6"/>
      <c r="AT305" s="3"/>
      <c r="AU305" s="3"/>
      <c r="AV305" s="3"/>
      <c r="AW305" s="3"/>
      <c r="BM305" s="3"/>
      <c r="BN305" s="3"/>
    </row>
    <row r="306" spans="1:66" s="4" customFormat="1" ht="38.25" x14ac:dyDescent="0.25">
      <c r="A306" s="97" t="s">
        <v>391</v>
      </c>
      <c r="B306" s="16" t="s">
        <v>80</v>
      </c>
      <c r="C306" s="74" t="s">
        <v>392</v>
      </c>
      <c r="D306" s="56">
        <v>-0.65</v>
      </c>
      <c r="E306" s="56">
        <v>0</v>
      </c>
      <c r="F306" s="56">
        <v>0</v>
      </c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136"/>
      <c r="W306" s="3"/>
      <c r="X306" s="3"/>
      <c r="Y306" s="3"/>
      <c r="Z306" s="3"/>
      <c r="AC306" s="5"/>
      <c r="AD306" s="5"/>
      <c r="AE306" s="5"/>
      <c r="AF306" s="5"/>
      <c r="AG306" s="5"/>
      <c r="AH306" s="5"/>
      <c r="AI306" s="3"/>
      <c r="AJ306" s="3"/>
      <c r="AK306" s="3"/>
      <c r="AL306" s="3"/>
      <c r="AM306" s="3"/>
      <c r="AN306" s="3"/>
      <c r="AO306" s="3"/>
      <c r="AP306" s="3"/>
      <c r="AQ306" s="3"/>
      <c r="AR306" s="6"/>
      <c r="AS306" s="6"/>
      <c r="AT306" s="3"/>
      <c r="AU306" s="3"/>
      <c r="AV306" s="3"/>
      <c r="AW306" s="3"/>
      <c r="BM306" s="3"/>
      <c r="BN306" s="3"/>
    </row>
    <row r="307" spans="1:66" s="6" customFormat="1" x14ac:dyDescent="0.25">
      <c r="A307" s="101" t="s">
        <v>297</v>
      </c>
      <c r="B307" s="16"/>
      <c r="C307" s="17"/>
      <c r="D307" s="55">
        <f>+D8+D216</f>
        <v>4588394767.5199995</v>
      </c>
      <c r="E307" s="55">
        <f>+E8+E216</f>
        <v>3743062212</v>
      </c>
      <c r="F307" s="55">
        <f>+F8+F216</f>
        <v>3500284607.5999999</v>
      </c>
      <c r="V307" s="43"/>
      <c r="AC307" s="5"/>
      <c r="AD307" s="44"/>
      <c r="AE307" s="5"/>
      <c r="AF307" s="5"/>
      <c r="AG307" s="5"/>
      <c r="AH307" s="5"/>
    </row>
    <row r="308" spans="1:66" s="48" customFormat="1" x14ac:dyDescent="0.25">
      <c r="A308" s="45"/>
      <c r="B308" s="45"/>
      <c r="C308" s="46"/>
      <c r="D308" s="46"/>
      <c r="E308" s="45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BM308" s="47"/>
      <c r="BN308" s="47"/>
    </row>
    <row r="309" spans="1:66" x14ac:dyDescent="0.25">
      <c r="B309" s="49"/>
      <c r="D309" s="151"/>
      <c r="E309" s="61"/>
    </row>
    <row r="310" spans="1:66" ht="18.75" x14ac:dyDescent="0.3">
      <c r="A310" s="98"/>
      <c r="B310" s="49"/>
      <c r="D310" s="196"/>
      <c r="E310" s="196"/>
      <c r="J310" s="197"/>
      <c r="K310" s="197"/>
    </row>
    <row r="311" spans="1:66" ht="18.75" x14ac:dyDescent="0.3">
      <c r="A311" s="198" t="s">
        <v>298</v>
      </c>
      <c r="B311" s="198"/>
      <c r="C311" s="52"/>
      <c r="D311" s="199" t="s">
        <v>334</v>
      </c>
      <c r="E311" s="199"/>
      <c r="F311" s="199"/>
    </row>
    <row r="312" spans="1:66" ht="18.75" x14ac:dyDescent="0.3">
      <c r="A312" s="99"/>
      <c r="B312" s="135"/>
      <c r="C312" s="52"/>
      <c r="D312" s="152"/>
      <c r="E312" s="53"/>
    </row>
    <row r="313" spans="1:66" ht="18.75" x14ac:dyDescent="0.3">
      <c r="A313" s="100"/>
      <c r="B313" s="53"/>
      <c r="C313" s="54"/>
      <c r="D313" s="152"/>
      <c r="E313" s="53"/>
      <c r="J313" s="197"/>
      <c r="K313" s="197"/>
    </row>
    <row r="314" spans="1:66" ht="18.75" x14ac:dyDescent="0.3">
      <c r="A314" s="192" t="s">
        <v>299</v>
      </c>
      <c r="B314" s="192"/>
      <c r="C314" s="54"/>
      <c r="D314" s="199" t="s">
        <v>335</v>
      </c>
      <c r="E314" s="199"/>
      <c r="F314" s="199"/>
    </row>
  </sheetData>
  <mergeCells count="25">
    <mergeCell ref="J313:K313"/>
    <mergeCell ref="A314:B314"/>
    <mergeCell ref="D314:F314"/>
    <mergeCell ref="AY269:BD269"/>
    <mergeCell ref="AZ270:BE270"/>
    <mergeCell ref="AY278:BD278"/>
    <mergeCell ref="D310:E310"/>
    <mergeCell ref="J310:K310"/>
    <mergeCell ref="A311:B311"/>
    <mergeCell ref="D311:F311"/>
    <mergeCell ref="AR88:AR93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88:L93"/>
    <mergeCell ref="AM88:AM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 на 2023(октябрь)</vt:lpstr>
      <vt:lpstr>Лист1</vt:lpstr>
      <vt:lpstr>'Прил 1 на 2023(октябрь)'!Заголовки_для_печати</vt:lpstr>
      <vt:lpstr>'Прил 1 на 2023(октябрь)'!Область_печати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2023-10-20T06:44:23Z</dcterms:modified>
</cp:coreProperties>
</file>